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sop\1-SOP4Training\Ques-WS สมุห์บัญชีประจำวัน\"/>
    </mc:Choice>
  </mc:AlternateContent>
  <bookViews>
    <workbookView xWindow="120" yWindow="396" windowWidth="10548" windowHeight="7752" tabRatio="680" firstSheet="2" activeTab="2"/>
  </bookViews>
  <sheets>
    <sheet name="1ก.ค" sheetId="43" state="hidden" r:id="rId1"/>
    <sheet name="2ก.ค " sheetId="44" state="hidden" r:id="rId2"/>
    <sheet name="3ก.ค  " sheetId="45" r:id="rId3"/>
    <sheet name="4ก.ค   " sheetId="46" state="hidden" r:id="rId4"/>
  </sheets>
  <definedNames>
    <definedName name="_xlnm.Print_Area" localSheetId="0">'1ก.ค'!$B$2:$U$30</definedName>
    <definedName name="_xlnm.Print_Area" localSheetId="1">'2ก.ค '!$B$2:$U$29</definedName>
    <definedName name="_xlnm.Print_Area" localSheetId="2">'3ก.ค  '!$B$2:$U$30</definedName>
    <definedName name="_xlnm.Print_Area" localSheetId="3">'4ก.ค   '!$W$3:$AE$16</definedName>
  </definedNames>
  <calcPr calcId="152511"/>
</workbook>
</file>

<file path=xl/calcChain.xml><?xml version="1.0" encoding="utf-8"?>
<calcChain xmlns="http://schemas.openxmlformats.org/spreadsheetml/2006/main">
  <c r="Q14" i="46" l="1"/>
  <c r="AA14" i="46" s="1"/>
  <c r="Q13" i="46"/>
  <c r="AB13" i="46" s="1"/>
  <c r="F13" i="46"/>
  <c r="Q12" i="46"/>
  <c r="K12" i="46"/>
  <c r="AA12" i="46" s="1"/>
  <c r="D11" i="46"/>
  <c r="D16" i="46" s="1"/>
  <c r="F10" i="46"/>
  <c r="Q7" i="46"/>
  <c r="K7" i="46"/>
  <c r="AA7" i="46" s="1"/>
  <c r="T16" i="46"/>
  <c r="O16" i="46"/>
  <c r="N16" i="46"/>
  <c r="E21" i="46"/>
  <c r="M16" i="46"/>
  <c r="L16" i="46"/>
  <c r="J16" i="46"/>
  <c r="H16" i="46"/>
  <c r="G16" i="46"/>
  <c r="E20" i="46" s="1"/>
  <c r="E16" i="46"/>
  <c r="C16" i="46"/>
  <c r="AC15" i="46"/>
  <c r="AB15" i="46"/>
  <c r="P15" i="46"/>
  <c r="I15" i="46"/>
  <c r="S15" i="46" s="1"/>
  <c r="AA15" i="46"/>
  <c r="AC14" i="46"/>
  <c r="AB14" i="46"/>
  <c r="R14" i="46"/>
  <c r="Y14" i="46" s="1"/>
  <c r="P14" i="46"/>
  <c r="I14" i="46"/>
  <c r="S14" i="46"/>
  <c r="X14" i="46" s="1"/>
  <c r="AC13" i="46"/>
  <c r="P13" i="46"/>
  <c r="AA13" i="46"/>
  <c r="AD13" i="46" s="1"/>
  <c r="I13" i="46"/>
  <c r="S13" i="46" s="1"/>
  <c r="AC12" i="46"/>
  <c r="R12" i="46"/>
  <c r="Y12" i="46" s="1"/>
  <c r="AB12" i="46"/>
  <c r="P12" i="46"/>
  <c r="I12" i="46"/>
  <c r="S12" i="46" s="1"/>
  <c r="U12" i="46" s="1"/>
  <c r="AB11" i="46"/>
  <c r="P11" i="46"/>
  <c r="I11" i="46"/>
  <c r="AC11" i="46"/>
  <c r="AB10" i="46"/>
  <c r="P10" i="46"/>
  <c r="S10" i="46" s="1"/>
  <c r="U10" i="46" s="1"/>
  <c r="I10" i="46"/>
  <c r="F16" i="46"/>
  <c r="AA10" i="46"/>
  <c r="AC9" i="46"/>
  <c r="R9" i="46"/>
  <c r="Y9" i="46"/>
  <c r="AB9" i="46"/>
  <c r="AB16" i="46" s="1"/>
  <c r="P9" i="46"/>
  <c r="I9" i="46"/>
  <c r="S9" i="46"/>
  <c r="X9" i="46" s="1"/>
  <c r="Z9" i="46" s="1"/>
  <c r="AC8" i="46"/>
  <c r="AD8" i="46" s="1"/>
  <c r="AB8" i="46"/>
  <c r="P8" i="46"/>
  <c r="I8" i="46"/>
  <c r="S8" i="46"/>
  <c r="X8" i="46" s="1"/>
  <c r="AA8" i="46"/>
  <c r="AC7" i="46"/>
  <c r="Q16" i="46"/>
  <c r="P7" i="46"/>
  <c r="P16" i="46" s="1"/>
  <c r="E19" i="46" s="1"/>
  <c r="K16" i="46"/>
  <c r="I7" i="46"/>
  <c r="D7" i="45"/>
  <c r="Q13" i="45"/>
  <c r="AB13" i="45" s="1"/>
  <c r="Q15" i="45"/>
  <c r="K15" i="45"/>
  <c r="D15" i="45"/>
  <c r="D16" i="45" s="1"/>
  <c r="Q12" i="45"/>
  <c r="Q11" i="45"/>
  <c r="AB11" i="45"/>
  <c r="F11" i="45"/>
  <c r="K13" i="45"/>
  <c r="R13" i="45" s="1"/>
  <c r="Y13" i="45" s="1"/>
  <c r="F10" i="45"/>
  <c r="D10" i="45"/>
  <c r="Q9" i="45"/>
  <c r="AA9" i="45" s="1"/>
  <c r="Q8" i="45"/>
  <c r="AB8" i="45" s="1"/>
  <c r="D8" i="45"/>
  <c r="AA8" i="45" s="1"/>
  <c r="Q7" i="45"/>
  <c r="K7" i="45"/>
  <c r="T16" i="45"/>
  <c r="O16" i="45"/>
  <c r="N16" i="45"/>
  <c r="E21" i="45" s="1"/>
  <c r="M16" i="45"/>
  <c r="L16" i="45"/>
  <c r="J16" i="45"/>
  <c r="H16" i="45"/>
  <c r="G16" i="45"/>
  <c r="E20" i="45"/>
  <c r="E16" i="45"/>
  <c r="C16" i="45"/>
  <c r="AC15" i="45"/>
  <c r="AB15" i="45"/>
  <c r="P15" i="45"/>
  <c r="I15" i="45"/>
  <c r="S15" i="45" s="1"/>
  <c r="U15" i="45" s="1"/>
  <c r="AC14" i="45"/>
  <c r="R14" i="45"/>
  <c r="Y14" i="45" s="1"/>
  <c r="AB14" i="45"/>
  <c r="P14" i="45"/>
  <c r="I14" i="45"/>
  <c r="AC13" i="45"/>
  <c r="P13" i="45"/>
  <c r="S13" i="45" s="1"/>
  <c r="X13" i="45" s="1"/>
  <c r="Z13" i="45" s="1"/>
  <c r="I13" i="45"/>
  <c r="AC12" i="45"/>
  <c r="P12" i="45"/>
  <c r="I12" i="45"/>
  <c r="P11" i="45"/>
  <c r="I11" i="45"/>
  <c r="S11" i="45" s="1"/>
  <c r="U11" i="45" s="1"/>
  <c r="AC10" i="45"/>
  <c r="AB10" i="45"/>
  <c r="P10" i="45"/>
  <c r="S10" i="45" s="1"/>
  <c r="I10" i="45"/>
  <c r="AA10" i="45"/>
  <c r="AD10" i="45" s="1"/>
  <c r="AC9" i="45"/>
  <c r="P9" i="45"/>
  <c r="I9" i="45"/>
  <c r="S9" i="45" s="1"/>
  <c r="AC8" i="45"/>
  <c r="AD8" i="45"/>
  <c r="R8" i="45"/>
  <c r="Y8" i="45" s="1"/>
  <c r="P8" i="45"/>
  <c r="I8" i="45"/>
  <c r="S8" i="45"/>
  <c r="U8" i="45" s="1"/>
  <c r="AC7" i="45"/>
  <c r="AA7" i="45"/>
  <c r="P7" i="45"/>
  <c r="I7" i="45"/>
  <c r="S7" i="45" s="1"/>
  <c r="X7" i="45" s="1"/>
  <c r="K13" i="44"/>
  <c r="Q15" i="44"/>
  <c r="AA15" i="44" s="1"/>
  <c r="K15" i="44"/>
  <c r="Q14" i="44"/>
  <c r="AB14" i="44"/>
  <c r="Q13" i="44"/>
  <c r="AB13" i="44" s="1"/>
  <c r="D13" i="44"/>
  <c r="Q12" i="44"/>
  <c r="K12" i="44"/>
  <c r="AA12" i="44"/>
  <c r="Q11" i="44"/>
  <c r="D11" i="44"/>
  <c r="D10" i="44"/>
  <c r="AA10" i="44" s="1"/>
  <c r="Q9" i="44"/>
  <c r="D9" i="44"/>
  <c r="T16" i="44"/>
  <c r="O16" i="44"/>
  <c r="N16" i="44"/>
  <c r="E21" i="44" s="1"/>
  <c r="L16" i="44"/>
  <c r="J16" i="44"/>
  <c r="H16" i="44"/>
  <c r="G16" i="44"/>
  <c r="E20" i="44"/>
  <c r="E16" i="44"/>
  <c r="C16" i="44"/>
  <c r="AC15" i="44"/>
  <c r="P15" i="44"/>
  <c r="I15" i="44"/>
  <c r="S15" i="44"/>
  <c r="AC14" i="44"/>
  <c r="AA14" i="44"/>
  <c r="R14" i="44"/>
  <c r="Y14" i="44"/>
  <c r="P14" i="44"/>
  <c r="I14" i="44"/>
  <c r="S14" i="44"/>
  <c r="X14" i="44" s="1"/>
  <c r="Z14" i="44" s="1"/>
  <c r="AE14" i="44" s="1"/>
  <c r="AC13" i="44"/>
  <c r="P13" i="44"/>
  <c r="I13" i="44"/>
  <c r="S13" i="44"/>
  <c r="U13" i="44" s="1"/>
  <c r="AB12" i="44"/>
  <c r="P12" i="44"/>
  <c r="M16" i="44"/>
  <c r="I12" i="44"/>
  <c r="S12" i="44" s="1"/>
  <c r="X12" i="44" s="1"/>
  <c r="Z12" i="44" s="1"/>
  <c r="AB11" i="44"/>
  <c r="P11" i="44"/>
  <c r="I11" i="44"/>
  <c r="F16" i="44"/>
  <c r="AC10" i="44"/>
  <c r="AB10" i="44"/>
  <c r="P10" i="44"/>
  <c r="I10" i="44"/>
  <c r="S10" i="44"/>
  <c r="AC9" i="44"/>
  <c r="AB9" i="44"/>
  <c r="P9" i="44"/>
  <c r="K16" i="44"/>
  <c r="I9" i="44"/>
  <c r="S9" i="44" s="1"/>
  <c r="X9" i="44" s="1"/>
  <c r="AC8" i="44"/>
  <c r="R8" i="44"/>
  <c r="Y8" i="44" s="1"/>
  <c r="AB8" i="44"/>
  <c r="P8" i="44"/>
  <c r="I8" i="44"/>
  <c r="S8" i="44" s="1"/>
  <c r="AC7" i="44"/>
  <c r="R7" i="44"/>
  <c r="P7" i="44"/>
  <c r="I7" i="44"/>
  <c r="I16" i="44"/>
  <c r="E18" i="44" s="1"/>
  <c r="E20" i="43"/>
  <c r="Q15" i="43"/>
  <c r="K15" i="43"/>
  <c r="P13" i="43"/>
  <c r="S13" i="43"/>
  <c r="U13" i="43" s="1"/>
  <c r="I13" i="43"/>
  <c r="AB12" i="43"/>
  <c r="AA13" i="43"/>
  <c r="AB13" i="43"/>
  <c r="AC13" i="43"/>
  <c r="AD13" i="43" s="1"/>
  <c r="R13" i="43"/>
  <c r="Y13" i="43" s="1"/>
  <c r="P12" i="43"/>
  <c r="M12" i="43"/>
  <c r="AC12" i="43" s="1"/>
  <c r="I12" i="43"/>
  <c r="S12" i="43"/>
  <c r="U12" i="43" s="1"/>
  <c r="D12" i="43"/>
  <c r="AA12" i="43" s="1"/>
  <c r="AD12" i="43" s="1"/>
  <c r="F11" i="43"/>
  <c r="D11" i="43"/>
  <c r="AA11" i="43" s="1"/>
  <c r="AD11" i="43" s="1"/>
  <c r="Q9" i="43"/>
  <c r="K9" i="43"/>
  <c r="Q8" i="43"/>
  <c r="AA8" i="43" s="1"/>
  <c r="Q16" i="43"/>
  <c r="Q7" i="43"/>
  <c r="I9" i="43"/>
  <c r="C16" i="43"/>
  <c r="T16" i="43"/>
  <c r="O16" i="43"/>
  <c r="N16" i="43"/>
  <c r="E21" i="43" s="1"/>
  <c r="L16" i="43"/>
  <c r="J16" i="43"/>
  <c r="H16" i="43"/>
  <c r="G16" i="43"/>
  <c r="E16" i="43"/>
  <c r="M16" i="43"/>
  <c r="AC15" i="43"/>
  <c r="P15" i="43"/>
  <c r="I15" i="43"/>
  <c r="S15" i="43"/>
  <c r="U15" i="43" s="1"/>
  <c r="AC14" i="43"/>
  <c r="AB14" i="43"/>
  <c r="P14" i="43"/>
  <c r="AA14" i="43"/>
  <c r="AD14" i="43" s="1"/>
  <c r="I14" i="43"/>
  <c r="S14" i="43"/>
  <c r="U14" i="43" s="1"/>
  <c r="AB11" i="43"/>
  <c r="P11" i="43"/>
  <c r="P16" i="43" s="1"/>
  <c r="E19" i="43" s="1"/>
  <c r="I11" i="43"/>
  <c r="S11" i="43" s="1"/>
  <c r="U11" i="43" s="1"/>
  <c r="F16" i="43"/>
  <c r="AC10" i="43"/>
  <c r="AB10" i="43"/>
  <c r="AD10" i="43" s="1"/>
  <c r="P10" i="43"/>
  <c r="AA10" i="43"/>
  <c r="I10" i="43"/>
  <c r="S10" i="43" s="1"/>
  <c r="X10" i="43" s="1"/>
  <c r="Z10" i="43" s="1"/>
  <c r="AC9" i="43"/>
  <c r="P9" i="43"/>
  <c r="D16" i="43"/>
  <c r="AC8" i="43"/>
  <c r="P8" i="43"/>
  <c r="K16" i="43"/>
  <c r="I8" i="43"/>
  <c r="S8" i="43"/>
  <c r="U8" i="43" s="1"/>
  <c r="AC7" i="43"/>
  <c r="AB7" i="43"/>
  <c r="AA7" i="43"/>
  <c r="R7" i="43"/>
  <c r="P7" i="43"/>
  <c r="I7" i="43"/>
  <c r="I16" i="43" s="1"/>
  <c r="E18" i="43" s="1"/>
  <c r="AB8" i="43"/>
  <c r="AB16" i="43" s="1"/>
  <c r="R9" i="43"/>
  <c r="Y9" i="43" s="1"/>
  <c r="AB15" i="43"/>
  <c r="R8" i="43"/>
  <c r="Y8" i="43" s="1"/>
  <c r="R10" i="43"/>
  <c r="Y10" i="43" s="1"/>
  <c r="R14" i="43"/>
  <c r="Y14" i="43"/>
  <c r="AD7" i="43"/>
  <c r="U9" i="44"/>
  <c r="X10" i="44"/>
  <c r="U10" i="44"/>
  <c r="U12" i="44"/>
  <c r="U14" i="44"/>
  <c r="S7" i="44"/>
  <c r="X7" i="44" s="1"/>
  <c r="Y7" i="44"/>
  <c r="AA7" i="44"/>
  <c r="AB7" i="44"/>
  <c r="AA8" i="44"/>
  <c r="AD8" i="44" s="1"/>
  <c r="R9" i="44"/>
  <c r="Y9" i="44"/>
  <c r="AA9" i="44"/>
  <c r="AD9" i="44" s="1"/>
  <c r="R11" i="44"/>
  <c r="Y11" i="44"/>
  <c r="AA11" i="44"/>
  <c r="AC11" i="44"/>
  <c r="AD11" i="44" s="1"/>
  <c r="R12" i="44"/>
  <c r="Y12" i="44" s="1"/>
  <c r="AC12" i="44"/>
  <c r="R15" i="44"/>
  <c r="Y15" i="44"/>
  <c r="AD7" i="44"/>
  <c r="X8" i="45"/>
  <c r="Z8" i="45" s="1"/>
  <c r="AE8" i="45" s="1"/>
  <c r="X11" i="45"/>
  <c r="R9" i="45"/>
  <c r="Y9" i="45" s="1"/>
  <c r="AB9" i="45"/>
  <c r="R10" i="45"/>
  <c r="Y10" i="45" s="1"/>
  <c r="R12" i="45"/>
  <c r="Y12" i="45" s="1"/>
  <c r="AA14" i="45"/>
  <c r="AD14" i="45"/>
  <c r="R15" i="45"/>
  <c r="Y15" i="45" s="1"/>
  <c r="U8" i="46"/>
  <c r="X10" i="46"/>
  <c r="X12" i="46"/>
  <c r="Z12" i="46" s="1"/>
  <c r="X13" i="46"/>
  <c r="U13" i="46"/>
  <c r="U14" i="46"/>
  <c r="R7" i="46"/>
  <c r="Y7" i="46" s="1"/>
  <c r="Y16" i="46" s="1"/>
  <c r="S7" i="46"/>
  <c r="AB7" i="46"/>
  <c r="R8" i="46"/>
  <c r="Y8" i="46" s="1"/>
  <c r="AA9" i="46"/>
  <c r="R10" i="46"/>
  <c r="Y10" i="46" s="1"/>
  <c r="AC10" i="46"/>
  <c r="R11" i="46"/>
  <c r="Y11" i="46" s="1"/>
  <c r="AA11" i="46"/>
  <c r="AD11" i="46" s="1"/>
  <c r="AD12" i="46"/>
  <c r="R13" i="46"/>
  <c r="Y13" i="46" s="1"/>
  <c r="R15" i="46"/>
  <c r="Y15" i="46"/>
  <c r="U7" i="46"/>
  <c r="Z13" i="46"/>
  <c r="AE12" i="46"/>
  <c r="Z9" i="44"/>
  <c r="AE9" i="44" s="1"/>
  <c r="U10" i="43"/>
  <c r="S9" i="43"/>
  <c r="X9" i="43" s="1"/>
  <c r="Z9" i="43" s="1"/>
  <c r="AE9" i="43" s="1"/>
  <c r="Y7" i="43"/>
  <c r="R15" i="43"/>
  <c r="Y15" i="43" s="1"/>
  <c r="AA15" i="43"/>
  <c r="AD15" i="43" s="1"/>
  <c r="AD14" i="44"/>
  <c r="AA13" i="44"/>
  <c r="R13" i="44"/>
  <c r="Y13" i="44" s="1"/>
  <c r="S7" i="43"/>
  <c r="U7" i="43" s="1"/>
  <c r="AB9" i="43"/>
  <c r="AD9" i="43" s="1"/>
  <c r="AA9" i="43"/>
  <c r="AC11" i="43"/>
  <c r="R12" i="43"/>
  <c r="Y12" i="43" s="1"/>
  <c r="R7" i="45"/>
  <c r="AB7" i="45"/>
  <c r="AA11" i="45"/>
  <c r="X7" i="43"/>
  <c r="AD7" i="45"/>
  <c r="Y7" i="45"/>
  <c r="U9" i="43"/>
  <c r="U16" i="43" l="1"/>
  <c r="AB16" i="45"/>
  <c r="AC16" i="43"/>
  <c r="AE10" i="43"/>
  <c r="U9" i="45"/>
  <c r="X9" i="45"/>
  <c r="Z9" i="45" s="1"/>
  <c r="AE9" i="45" s="1"/>
  <c r="X15" i="46"/>
  <c r="Z15" i="46" s="1"/>
  <c r="U15" i="46"/>
  <c r="R16" i="46"/>
  <c r="AA16" i="43"/>
  <c r="Z7" i="45"/>
  <c r="Z7" i="43"/>
  <c r="AD16" i="43"/>
  <c r="E23" i="43"/>
  <c r="U8" i="44"/>
  <c r="X8" i="44"/>
  <c r="Z8" i="44" s="1"/>
  <c r="AE8" i="44" s="1"/>
  <c r="Z8" i="46"/>
  <c r="AE8" i="46" s="1"/>
  <c r="AD10" i="46"/>
  <c r="I16" i="46"/>
  <c r="E18" i="46" s="1"/>
  <c r="E23" i="46" s="1"/>
  <c r="AD13" i="44"/>
  <c r="AE13" i="46"/>
  <c r="U13" i="45"/>
  <c r="AC16" i="44"/>
  <c r="AD15" i="44"/>
  <c r="R11" i="43"/>
  <c r="Y11" i="43" s="1"/>
  <c r="Y16" i="43" s="1"/>
  <c r="AA16" i="44"/>
  <c r="X12" i="43"/>
  <c r="Z12" i="43" s="1"/>
  <c r="AE12" i="43" s="1"/>
  <c r="AD9" i="46"/>
  <c r="AE9" i="46" s="1"/>
  <c r="X7" i="46"/>
  <c r="Z10" i="46"/>
  <c r="AE10" i="46" s="1"/>
  <c r="U7" i="44"/>
  <c r="X15" i="43"/>
  <c r="Z15" i="43" s="1"/>
  <c r="AE15" i="43" s="1"/>
  <c r="X13" i="43"/>
  <c r="Z13" i="43" s="1"/>
  <c r="AE13" i="43" s="1"/>
  <c r="P16" i="44"/>
  <c r="E19" i="44" s="1"/>
  <c r="R10" i="44"/>
  <c r="S11" i="44"/>
  <c r="D16" i="44"/>
  <c r="S12" i="45"/>
  <c r="AA13" i="45"/>
  <c r="AD13" i="45" s="1"/>
  <c r="AE13" i="45" s="1"/>
  <c r="AA15" i="45"/>
  <c r="AD15" i="45" s="1"/>
  <c r="Q16" i="45"/>
  <c r="S11" i="46"/>
  <c r="AD15" i="46"/>
  <c r="Z7" i="44"/>
  <c r="E23" i="44"/>
  <c r="X15" i="44"/>
  <c r="Z15" i="44" s="1"/>
  <c r="AE15" i="44" s="1"/>
  <c r="U15" i="44"/>
  <c r="AB12" i="45"/>
  <c r="AA12" i="45"/>
  <c r="AD12" i="45" s="1"/>
  <c r="S16" i="43"/>
  <c r="X11" i="43"/>
  <c r="AD8" i="43"/>
  <c r="AD10" i="44"/>
  <c r="AD16" i="44" s="1"/>
  <c r="AD12" i="44"/>
  <c r="AE12" i="44" s="1"/>
  <c r="P16" i="45"/>
  <c r="E19" i="45" s="1"/>
  <c r="X10" i="45"/>
  <c r="Z10" i="45" s="1"/>
  <c r="AE10" i="45" s="1"/>
  <c r="U10" i="45"/>
  <c r="K16" i="45"/>
  <c r="AD9" i="45"/>
  <c r="F16" i="45"/>
  <c r="AC11" i="45"/>
  <c r="AD11" i="45" s="1"/>
  <c r="AD16" i="45" s="1"/>
  <c r="R11" i="45"/>
  <c r="AC16" i="46"/>
  <c r="U9" i="46"/>
  <c r="U7" i="45"/>
  <c r="X15" i="45"/>
  <c r="Z15" i="45" s="1"/>
  <c r="S16" i="44"/>
  <c r="X13" i="44"/>
  <c r="Z13" i="44" s="1"/>
  <c r="X8" i="43"/>
  <c r="Z8" i="43" s="1"/>
  <c r="AE8" i="43" s="1"/>
  <c r="X14" i="43"/>
  <c r="Z14" i="43" s="1"/>
  <c r="AE14" i="43" s="1"/>
  <c r="Q16" i="44"/>
  <c r="AB15" i="44"/>
  <c r="AB16" i="44" s="1"/>
  <c r="I16" i="45"/>
  <c r="E18" i="45" s="1"/>
  <c r="E23" i="45" s="1"/>
  <c r="AC16" i="45"/>
  <c r="S14" i="45"/>
  <c r="S16" i="45" s="1"/>
  <c r="Z14" i="46"/>
  <c r="AE14" i="46" s="1"/>
  <c r="AA16" i="46"/>
  <c r="AD7" i="46"/>
  <c r="AD16" i="46" s="1"/>
  <c r="AD14" i="46"/>
  <c r="U11" i="44" l="1"/>
  <c r="X11" i="44"/>
  <c r="Z11" i="44" s="1"/>
  <c r="AE11" i="44" s="1"/>
  <c r="X16" i="46"/>
  <c r="Z7" i="46"/>
  <c r="AE15" i="45"/>
  <c r="U16" i="44"/>
  <c r="AE7" i="43"/>
  <c r="Z16" i="43"/>
  <c r="AE16" i="43" s="1"/>
  <c r="R16" i="43"/>
  <c r="Z11" i="43"/>
  <c r="AE11" i="43" s="1"/>
  <c r="X16" i="44"/>
  <c r="X11" i="46"/>
  <c r="Z11" i="46" s="1"/>
  <c r="AE11" i="46" s="1"/>
  <c r="U11" i="46"/>
  <c r="X12" i="45"/>
  <c r="U12" i="45"/>
  <c r="U16" i="45" s="1"/>
  <c r="AE15" i="46"/>
  <c r="AA16" i="45"/>
  <c r="R16" i="44"/>
  <c r="Y10" i="44"/>
  <c r="X14" i="45"/>
  <c r="Z14" i="45" s="1"/>
  <c r="AE14" i="45" s="1"/>
  <c r="U14" i="45"/>
  <c r="AE13" i="44"/>
  <c r="U16" i="46"/>
  <c r="Y11" i="45"/>
  <c r="R16" i="45"/>
  <c r="AE7" i="44"/>
  <c r="S16" i="46"/>
  <c r="AE7" i="45"/>
  <c r="X16" i="43"/>
  <c r="Y16" i="44" l="1"/>
  <c r="Z10" i="44"/>
  <c r="Z16" i="46"/>
  <c r="AE16" i="46" s="1"/>
  <c r="AE7" i="46"/>
  <c r="Z12" i="45"/>
  <c r="AE12" i="45" s="1"/>
  <c r="X16" i="45"/>
  <c r="Y16" i="45"/>
  <c r="Z11" i="45"/>
  <c r="AE11" i="45" l="1"/>
  <c r="Z16" i="45"/>
  <c r="AE16" i="45" s="1"/>
  <c r="AE10" i="44"/>
  <c r="Z16" i="44"/>
  <c r="AE16" i="44" s="1"/>
</calcChain>
</file>

<file path=xl/sharedStrings.xml><?xml version="1.0" encoding="utf-8"?>
<sst xmlns="http://schemas.openxmlformats.org/spreadsheetml/2006/main" count="281" uniqueCount="62">
  <si>
    <t>NO.</t>
  </si>
  <si>
    <t>สาย1</t>
  </si>
  <si>
    <t>สาย2</t>
  </si>
  <si>
    <t>ภาษีขาย</t>
  </si>
  <si>
    <t>สาย3</t>
  </si>
  <si>
    <t>สาย4</t>
  </si>
  <si>
    <t>สาย5</t>
  </si>
  <si>
    <t>รวม</t>
  </si>
  <si>
    <t>ส่วนลดจ่าย</t>
  </si>
  <si>
    <t>TOTAL</t>
  </si>
  <si>
    <t>เดบิต</t>
  </si>
  <si>
    <t>เงินสดรับจากการขาย</t>
  </si>
  <si>
    <t>เครดิต</t>
  </si>
  <si>
    <t>รายได้จากการขาย</t>
  </si>
  <si>
    <t>ลูกหนี้การค้า</t>
  </si>
  <si>
    <t>สุทธิ</t>
  </si>
  <si>
    <t>สาย6</t>
  </si>
  <si>
    <t>สาย7</t>
  </si>
  <si>
    <t>สรุปเงินสดขาย สาขานครปฐม</t>
  </si>
  <si>
    <t>สาย</t>
  </si>
  <si>
    <t>บิลเล็ก</t>
  </si>
  <si>
    <t>บิลใหญ่</t>
  </si>
  <si>
    <t>ค่าใช้จ่าย</t>
  </si>
  <si>
    <t>คงเหลือ</t>
  </si>
  <si>
    <t>สาย 1</t>
  </si>
  <si>
    <t>สาย 2</t>
  </si>
  <si>
    <t>สาย 3</t>
  </si>
  <si>
    <t>สาย 4</t>
  </si>
  <si>
    <t>สาย 5</t>
  </si>
  <si>
    <t>สาย 6</t>
  </si>
  <si>
    <t>สาย 7</t>
  </si>
  <si>
    <t>รวมบิลเล็ก</t>
  </si>
  <si>
    <t>รวมบิลใหญ่</t>
  </si>
  <si>
    <t>รวมส่วนลดจ่าย</t>
  </si>
  <si>
    <t>บิลเครดิต CR317</t>
  </si>
  <si>
    <t>บิลเครดิต CR309</t>
  </si>
  <si>
    <t>บันทึกรายได้</t>
  </si>
  <si>
    <t>พนักงานบัญชีสาขานครปฐม</t>
  </si>
  <si>
    <t>ผู้จัดทำ</t>
  </si>
  <si>
    <t>รวมเงินสุทธิ</t>
  </si>
  <si>
    <t>(........................................................)</t>
  </si>
  <si>
    <t>บริษัท เอ็น ซี เอส โกลด์เบรด จำกัด</t>
  </si>
  <si>
    <t>พนักงานแคชเชียร์</t>
  </si>
  <si>
    <t>........................................................</t>
  </si>
  <si>
    <t>น.ส.เบญจวรรณ พันยุโดด(แทน)</t>
  </si>
  <si>
    <t>ประจำวันที่   1     กรกฏาคม  2558</t>
  </si>
  <si>
    <t>สาย 8</t>
  </si>
  <si>
    <t>สาย 9</t>
  </si>
  <si>
    <t>สาย8</t>
  </si>
  <si>
    <t>สาย9</t>
  </si>
  <si>
    <t>ยอดที่เก็บเงินได้จากลูกค้า วท. 1/7/58 สาขานครปฐม</t>
  </si>
  <si>
    <t>รายได้ขายขนมปังเสีย</t>
  </si>
  <si>
    <t>เงินสด/CA</t>
  </si>
  <si>
    <t>ฝากเก็บ/BB</t>
  </si>
  <si>
    <t>เครดิต/CR</t>
  </si>
  <si>
    <t>ประจำวันที่   2     กรกฏาคม  2558</t>
  </si>
  <si>
    <t>ยอดที่เก็บเงินได้จากลูกค้า วท. 2/7/58 สาขานครปฐม</t>
  </si>
  <si>
    <t>ยอดที่เก็บเงินได้จากลูกค้า วท. 3/7/58 สาขานครปฐม</t>
  </si>
  <si>
    <t>ประจำวันที่   3    กรกฏาคม  2558</t>
  </si>
  <si>
    <t>ยอดที่เก็บเงินได้จากลูกค้า วท. 4/7/58 สาขานครปฐม</t>
  </si>
  <si>
    <t>ประจำวันที่   4    กรกฏาคม  2558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</si>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</sst>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24"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sz val="11"/>
      <color indexed="8"/>
      <name val="Tahoma"/>
      <family val="2"/>
      <charset val="222"/>
    </font>
    <font>
      <sz val="14"/>
      <color indexed="8"/>
      <name val="Angsana New"/>
      <family val="1"/>
    </font>
    <font>
      <sz val="14"/>
      <color indexed="10"/>
      <name val="Angsana New"/>
      <family val="1"/>
    </font>
    <font>
      <b/>
      <sz val="14"/>
      <color indexed="8"/>
      <name val="Angsana New"/>
      <family val="1"/>
    </font>
    <font>
      <b/>
      <sz val="16"/>
      <color indexed="8"/>
      <name val="Angsana New"/>
      <family val="1"/>
    </font>
    <font>
      <sz val="16"/>
      <color indexed="8"/>
      <name val="Angsana New"/>
      <family val="1"/>
    </font>
    <font>
      <sz val="16"/>
      <color indexed="10"/>
      <name val="Angsana New"/>
      <family val="1"/>
    </font>
    <font>
      <b/>
      <sz val="16"/>
      <color indexed="10"/>
      <name val="Angsana New"/>
      <family val="1"/>
    </font>
    <font>
      <sz val="12"/>
      <color indexed="30"/>
      <name val="Angsana New"/>
      <family val="1"/>
    </font>
    <font>
      <sz val="16"/>
      <color indexed="30"/>
      <name val="Angsana New"/>
      <family val="1"/>
    </font>
    <font>
      <b/>
      <sz val="16"/>
      <color indexed="30"/>
      <name val="Angsana New"/>
      <family val="1"/>
    </font>
    <font>
      <b/>
      <sz val="14"/>
      <color indexed="10"/>
      <name val="Angsana New"/>
      <family val="1"/>
    </font>
    <font>
      <sz val="11"/>
      <name val="Tahoma"/>
      <family val="2"/>
      <charset val="222"/>
    </font>
    <font>
      <b/>
      <sz val="14"/>
      <color indexed="30"/>
      <name val="Angsana New"/>
      <family val="1"/>
    </font>
    <font>
      <sz val="8"/>
      <name val="Tahoma"/>
      <family val="2"/>
      <charset val="222"/>
    </font>
    <font>
      <b/>
      <sz val="18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u val="double"/>
      <sz val="16"/>
      <color rgb="FFFF0000"/>
      <name val="Angsana New"/>
      <family val="1"/>
    </font>
    <font>
      <b/>
      <u val="doubleAccounting"/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4" fillId="0" borderId="0" applyFont="0" applyFill="0" applyBorder="0" applyAlignment="0" applyProtection="0"/>
  </cellStyleXfs>
  <cellXfs count="78">
    <xf numFmtId="0" fontId="0" fillId="0" borderId="0" xfId="0"/>
    <xf numFmtId="0" fontId="8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0" fontId="9" fillId="0" borderId="1" xfId="0" applyFont="1" applyBorder="1" applyAlignment="1">
      <alignment horizontal="center"/>
    </xf>
    <xf numFmtId="171" fontId="9" fillId="0" borderId="0" xfId="1" applyFont="1"/>
    <xf numFmtId="171" fontId="9" fillId="0" borderId="0" xfId="0" applyNumberFormat="1" applyFont="1"/>
    <xf numFmtId="171" fontId="9" fillId="0" borderId="1" xfId="1" applyFont="1" applyBorder="1"/>
    <xf numFmtId="171" fontId="9" fillId="0" borderId="1" xfId="1" applyFont="1" applyFill="1" applyBorder="1"/>
    <xf numFmtId="0" fontId="8" fillId="0" borderId="0" xfId="0" applyFont="1" applyBorder="1" applyAlignment="1">
      <alignment horizontal="center"/>
    </xf>
    <xf numFmtId="171" fontId="8" fillId="0" borderId="0" xfId="1" applyFont="1" applyBorder="1"/>
    <xf numFmtId="171" fontId="8" fillId="0" borderId="0" xfId="0" applyNumberFormat="1" applyFont="1" applyBorder="1"/>
    <xf numFmtId="171" fontId="9" fillId="0" borderId="1" xfId="0" applyNumberFormat="1" applyFont="1" applyFill="1" applyBorder="1"/>
    <xf numFmtId="171" fontId="10" fillId="0" borderId="1" xfId="1" applyFont="1" applyFill="1" applyBorder="1"/>
    <xf numFmtId="0" fontId="12" fillId="0" borderId="1" xfId="0" applyFont="1" applyBorder="1" applyAlignment="1">
      <alignment horizontal="center"/>
    </xf>
    <xf numFmtId="171" fontId="13" fillId="0" borderId="1" xfId="1" applyFont="1" applyBorder="1"/>
    <xf numFmtId="171" fontId="14" fillId="0" borderId="1" xfId="0" applyNumberFormat="1" applyFont="1" applyBorder="1"/>
    <xf numFmtId="171" fontId="14" fillId="0" borderId="1" xfId="1" applyFont="1" applyBorder="1"/>
    <xf numFmtId="171" fontId="13" fillId="0" borderId="1" xfId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71" fontId="1" fillId="0" borderId="1" xfId="1" applyFont="1" applyFill="1" applyBorder="1"/>
    <xf numFmtId="171" fontId="1" fillId="0" borderId="1" xfId="0" applyNumberFormat="1" applyFont="1" applyFill="1" applyBorder="1"/>
    <xf numFmtId="171" fontId="1" fillId="0" borderId="1" xfId="1" applyFont="1" applyBorder="1"/>
    <xf numFmtId="0" fontId="2" fillId="0" borderId="1" xfId="0" applyFont="1" applyBorder="1" applyAlignment="1">
      <alignment horizontal="center"/>
    </xf>
    <xf numFmtId="171" fontId="2" fillId="0" borderId="1" xfId="0" applyNumberFormat="1" applyFont="1" applyBorder="1"/>
    <xf numFmtId="171" fontId="2" fillId="0" borderId="0" xfId="0" applyNumberFormat="1" applyFont="1" applyBorder="1"/>
    <xf numFmtId="0" fontId="1" fillId="0" borderId="0" xfId="0" applyFont="1"/>
    <xf numFmtId="0" fontId="2" fillId="0" borderId="0" xfId="0" applyFont="1" applyFill="1" applyBorder="1"/>
    <xf numFmtId="171" fontId="2" fillId="0" borderId="0" xfId="0" applyNumberFormat="1" applyFont="1" applyFill="1" applyBorder="1"/>
    <xf numFmtId="0" fontId="9" fillId="0" borderId="0" xfId="0" applyFont="1" applyFill="1" applyBorder="1"/>
    <xf numFmtId="0" fontId="1" fillId="0" borderId="0" xfId="0" applyFont="1" applyBorder="1"/>
    <xf numFmtId="171" fontId="11" fillId="0" borderId="1" xfId="0" applyNumberFormat="1" applyFont="1" applyBorder="1"/>
    <xf numFmtId="0" fontId="15" fillId="0" borderId="0" xfId="0" applyFont="1"/>
    <xf numFmtId="171" fontId="15" fillId="0" borderId="0" xfId="1" applyFont="1"/>
    <xf numFmtId="171" fontId="2" fillId="0" borderId="1" xfId="0" applyNumberFormat="1" applyFont="1" applyFill="1" applyBorder="1"/>
    <xf numFmtId="171" fontId="8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9" fillId="2" borderId="0" xfId="0" applyFont="1" applyFill="1"/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1" fontId="5" fillId="0" borderId="1" xfId="1" applyFont="1" applyFill="1" applyBorder="1"/>
    <xf numFmtId="171" fontId="3" fillId="0" borderId="1" xfId="1" applyFont="1" applyFill="1" applyBorder="1" applyAlignment="1">
      <alignment horizontal="left"/>
    </xf>
    <xf numFmtId="171" fontId="6" fillId="0" borderId="1" xfId="1" applyFont="1" applyFill="1" applyBorder="1"/>
    <xf numFmtId="0" fontId="7" fillId="3" borderId="2" xfId="0" applyFont="1" applyFill="1" applyBorder="1" applyAlignment="1">
      <alignment horizontal="center"/>
    </xf>
    <xf numFmtId="171" fontId="7" fillId="3" borderId="2" xfId="1" applyFont="1" applyFill="1" applyBorder="1"/>
    <xf numFmtId="171" fontId="6" fillId="3" borderId="2" xfId="1" applyFont="1" applyFill="1" applyBorder="1"/>
    <xf numFmtId="171" fontId="8" fillId="0" borderId="1" xfId="1" applyFont="1" applyBorder="1"/>
    <xf numFmtId="171" fontId="8" fillId="0" borderId="1" xfId="0" applyNumberFormat="1" applyFont="1" applyBorder="1"/>
    <xf numFmtId="171" fontId="8" fillId="0" borderId="1" xfId="0" applyNumberFormat="1" applyFont="1" applyFill="1" applyBorder="1"/>
    <xf numFmtId="0" fontId="8" fillId="0" borderId="0" xfId="0" applyFont="1" applyFill="1" applyBorder="1"/>
    <xf numFmtId="171" fontId="11" fillId="0" borderId="0" xfId="0" applyNumberFormat="1" applyFont="1" applyBorder="1"/>
    <xf numFmtId="171" fontId="20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171" fontId="23" fillId="0" borderId="3" xfId="0" applyNumberFormat="1" applyFont="1" applyBorder="1"/>
    <xf numFmtId="0" fontId="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0"/>
  <sheetViews>
    <sheetView topLeftCell="B1" zoomScaleNormal="10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K24" sqref="K24"/>
    </sheetView>
  </sheetViews>
  <sheetFormatPr defaultColWidth="9" defaultRowHeight="23.4"/>
  <cols>
    <col min="1" max="1" width="9" style="2"/>
    <col min="2" max="2" width="11" style="2" customWidth="1"/>
    <col min="3" max="3" width="14.77734375" style="2" customWidth="1"/>
    <col min="4" max="4" width="7.109375" style="2" customWidth="1"/>
    <col min="5" max="5" width="9.77734375" style="2" customWidth="1"/>
    <col min="6" max="6" width="7.109375" style="2" customWidth="1"/>
    <col min="7" max="7" width="11.44140625" style="31" customWidth="1"/>
    <col min="8" max="8" width="7.44140625" style="2" customWidth="1"/>
    <col min="9" max="9" width="10.77734375" style="3" customWidth="1"/>
    <col min="10" max="10" width="9" style="2"/>
    <col min="11" max="11" width="7.109375" style="2" customWidth="1"/>
    <col min="12" max="12" width="9" style="2"/>
    <col min="13" max="13" width="7.109375" style="2" customWidth="1"/>
    <col min="14" max="14" width="10.21875" style="31" customWidth="1"/>
    <col min="15" max="15" width="8.88671875" style="2" customWidth="1"/>
    <col min="16" max="16" width="12.109375" style="3" customWidth="1"/>
    <col min="17" max="17" width="9" style="3"/>
    <col min="18" max="18" width="9.109375" style="3" customWidth="1"/>
    <col min="19" max="19" width="10.6640625" style="3" customWidth="1"/>
    <col min="20" max="20" width="8" style="3" customWidth="1"/>
    <col min="21" max="21" width="10.77734375" style="2" customWidth="1"/>
    <col min="22" max="22" width="3.109375" style="42" customWidth="1"/>
    <col min="23" max="23" width="9" style="2"/>
    <col min="24" max="24" width="15.33203125" style="2" customWidth="1"/>
    <col min="25" max="25" width="11.6640625" style="2" customWidth="1"/>
    <col min="26" max="26" width="9" style="2"/>
    <col min="27" max="27" width="13.21875" style="2" customWidth="1"/>
    <col min="28" max="28" width="10.77734375" style="2" customWidth="1"/>
    <col min="29" max="29" width="12" style="2" customWidth="1"/>
    <col min="30" max="30" width="10.33203125" style="2" customWidth="1"/>
    <col min="31" max="31" width="11.44140625" style="2" customWidth="1"/>
    <col min="32" max="16384" width="9" style="2"/>
  </cols>
  <sheetData>
    <row r="2" spans="2:31">
      <c r="B2" s="75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2:31">
      <c r="B3" s="75" t="s">
        <v>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31" ht="26.4">
      <c r="B4" s="76" t="s">
        <v>45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W4" s="77" t="s">
        <v>50</v>
      </c>
      <c r="X4" s="77"/>
      <c r="Y4" s="77"/>
      <c r="Z4" s="77"/>
      <c r="AA4" s="77"/>
      <c r="AB4" s="77"/>
      <c r="AC4" s="77"/>
      <c r="AD4" s="77"/>
      <c r="AE4" s="77"/>
    </row>
    <row r="5" spans="2:31">
      <c r="B5" s="68" t="s">
        <v>19</v>
      </c>
      <c r="C5" s="69" t="s">
        <v>20</v>
      </c>
      <c r="D5" s="70"/>
      <c r="E5" s="70"/>
      <c r="F5" s="70"/>
      <c r="G5" s="70"/>
      <c r="H5" s="71"/>
      <c r="I5" s="61" t="s">
        <v>31</v>
      </c>
      <c r="J5" s="69" t="s">
        <v>21</v>
      </c>
      <c r="K5" s="70"/>
      <c r="L5" s="70"/>
      <c r="M5" s="70"/>
      <c r="N5" s="70"/>
      <c r="O5" s="71"/>
      <c r="P5" s="61" t="s">
        <v>32</v>
      </c>
      <c r="Q5" s="62" t="s">
        <v>3</v>
      </c>
      <c r="R5" s="66" t="s">
        <v>33</v>
      </c>
      <c r="S5" s="64" t="s">
        <v>7</v>
      </c>
      <c r="T5" s="63" t="s">
        <v>22</v>
      </c>
      <c r="U5" s="62" t="s">
        <v>23</v>
      </c>
      <c r="W5" s="62" t="s">
        <v>0</v>
      </c>
      <c r="X5" s="72" t="s">
        <v>10</v>
      </c>
      <c r="Y5" s="73"/>
      <c r="Z5" s="74"/>
      <c r="AA5" s="72" t="s">
        <v>12</v>
      </c>
      <c r="AB5" s="73"/>
      <c r="AC5" s="73"/>
      <c r="AD5" s="73"/>
      <c r="AE5" s="74"/>
    </row>
    <row r="6" spans="2:31">
      <c r="B6" s="68"/>
      <c r="C6" s="1" t="s">
        <v>52</v>
      </c>
      <c r="D6" s="14" t="s">
        <v>8</v>
      </c>
      <c r="E6" s="1" t="s">
        <v>53</v>
      </c>
      <c r="F6" s="14" t="s">
        <v>8</v>
      </c>
      <c r="G6" s="28" t="s">
        <v>54</v>
      </c>
      <c r="H6" s="14" t="s">
        <v>8</v>
      </c>
      <c r="I6" s="61"/>
      <c r="J6" s="1" t="s">
        <v>52</v>
      </c>
      <c r="K6" s="14" t="s">
        <v>8</v>
      </c>
      <c r="L6" s="1" t="s">
        <v>53</v>
      </c>
      <c r="M6" s="14" t="s">
        <v>8</v>
      </c>
      <c r="N6" s="28" t="s">
        <v>54</v>
      </c>
      <c r="O6" s="14" t="s">
        <v>8</v>
      </c>
      <c r="P6" s="61"/>
      <c r="Q6" s="62"/>
      <c r="R6" s="67"/>
      <c r="S6" s="65"/>
      <c r="T6" s="63"/>
      <c r="U6" s="62"/>
      <c r="W6" s="62"/>
      <c r="X6" s="43" t="s">
        <v>11</v>
      </c>
      <c r="Y6" s="43" t="s">
        <v>8</v>
      </c>
      <c r="Z6" s="43" t="s">
        <v>7</v>
      </c>
      <c r="AA6" s="43" t="s">
        <v>13</v>
      </c>
      <c r="AB6" s="43" t="s">
        <v>3</v>
      </c>
      <c r="AC6" s="43" t="s">
        <v>14</v>
      </c>
      <c r="AD6" s="43" t="s">
        <v>7</v>
      </c>
      <c r="AE6" s="43" t="s">
        <v>15</v>
      </c>
    </row>
    <row r="7" spans="2:31">
      <c r="B7" s="4" t="s">
        <v>24</v>
      </c>
      <c r="C7" s="7">
        <v>5353</v>
      </c>
      <c r="D7" s="15">
        <v>0.8</v>
      </c>
      <c r="E7" s="7">
        <v>532</v>
      </c>
      <c r="F7" s="15">
        <v>0</v>
      </c>
      <c r="G7" s="27">
        <v>0</v>
      </c>
      <c r="H7" s="15">
        <v>0</v>
      </c>
      <c r="I7" s="25">
        <f>+C7+E7+G7</f>
        <v>5885</v>
      </c>
      <c r="J7" s="7">
        <v>1401</v>
      </c>
      <c r="K7" s="15">
        <v>0</v>
      </c>
      <c r="L7" s="7">
        <v>0</v>
      </c>
      <c r="M7" s="15">
        <v>0</v>
      </c>
      <c r="N7" s="27">
        <v>0</v>
      </c>
      <c r="O7" s="15">
        <v>0</v>
      </c>
      <c r="P7" s="25">
        <f>+J7+L7+N7</f>
        <v>1401</v>
      </c>
      <c r="Q7" s="8">
        <f>25.51+49.65+16.49</f>
        <v>91.649999999999991</v>
      </c>
      <c r="R7" s="18">
        <f>+D7+F7+H7+K7+M7+O7</f>
        <v>0.8</v>
      </c>
      <c r="S7" s="26">
        <f>+I7+P7</f>
        <v>7286</v>
      </c>
      <c r="T7" s="13">
        <v>0</v>
      </c>
      <c r="U7" s="12">
        <f>+S7-T7</f>
        <v>7286</v>
      </c>
      <c r="W7" s="44" t="s">
        <v>1</v>
      </c>
      <c r="X7" s="45">
        <f>+S7</f>
        <v>7286</v>
      </c>
      <c r="Y7" s="45">
        <f>+R7</f>
        <v>0.8</v>
      </c>
      <c r="Z7" s="45">
        <f t="shared" ref="Z7:Z15" si="0">+X7+Y7</f>
        <v>7286.8</v>
      </c>
      <c r="AA7" s="45">
        <f>+C7+D7+J7+K7-Q7</f>
        <v>6663.1500000000005</v>
      </c>
      <c r="AB7" s="45">
        <f>+Q7</f>
        <v>91.649999999999991</v>
      </c>
      <c r="AC7" s="46">
        <f>+E7+F7+G7+H7+L7+M7+N7+O7</f>
        <v>532</v>
      </c>
      <c r="AD7" s="46">
        <f t="shared" ref="AD7:AD15" si="1">+AA7+AB7+AC7</f>
        <v>7286.8</v>
      </c>
      <c r="AE7" s="47">
        <f t="shared" ref="AE7:AE16" si="2">Z7-AD7</f>
        <v>0</v>
      </c>
    </row>
    <row r="8" spans="2:31">
      <c r="B8" s="4" t="s">
        <v>25</v>
      </c>
      <c r="C8" s="7">
        <v>5296</v>
      </c>
      <c r="D8" s="15">
        <v>0</v>
      </c>
      <c r="E8" s="7">
        <v>2899</v>
      </c>
      <c r="F8" s="15">
        <v>0</v>
      </c>
      <c r="G8" s="27">
        <v>0</v>
      </c>
      <c r="H8" s="15">
        <v>0</v>
      </c>
      <c r="I8" s="25">
        <f t="shared" ref="I8:I15" si="3">+C8+E8+G8</f>
        <v>8195</v>
      </c>
      <c r="J8" s="7">
        <v>1549</v>
      </c>
      <c r="K8" s="15">
        <v>0.5</v>
      </c>
      <c r="L8" s="7">
        <v>0</v>
      </c>
      <c r="M8" s="15">
        <v>0</v>
      </c>
      <c r="N8" s="27">
        <v>0</v>
      </c>
      <c r="O8" s="15">
        <v>0</v>
      </c>
      <c r="P8" s="25">
        <f t="shared" ref="P8:P15" si="4">+J8+L8+N8</f>
        <v>1549</v>
      </c>
      <c r="Q8" s="8">
        <f>21.79+79.58</f>
        <v>101.37</v>
      </c>
      <c r="R8" s="18">
        <f t="shared" ref="R8:R15" si="5">+D8+F8+H8+K8+M8+O8</f>
        <v>0.5</v>
      </c>
      <c r="S8" s="26">
        <f t="shared" ref="S8:S15" si="6">+I8+P8</f>
        <v>9744</v>
      </c>
      <c r="T8" s="13">
        <v>0</v>
      </c>
      <c r="U8" s="12">
        <f t="shared" ref="U8:U15" si="7">+S8-T8</f>
        <v>9744</v>
      </c>
      <c r="W8" s="44" t="s">
        <v>2</v>
      </c>
      <c r="X8" s="45">
        <f t="shared" ref="X8:X15" si="8">+S8</f>
        <v>9744</v>
      </c>
      <c r="Y8" s="45">
        <f t="shared" ref="Y8:Y15" si="9">+R8</f>
        <v>0.5</v>
      </c>
      <c r="Z8" s="45">
        <f t="shared" si="0"/>
        <v>9744.5</v>
      </c>
      <c r="AA8" s="45">
        <f t="shared" ref="AA8:AA15" si="10">+C8+D8+J8+K8-Q8</f>
        <v>6744.13</v>
      </c>
      <c r="AB8" s="45">
        <f t="shared" ref="AB8:AB15" si="11">+Q8</f>
        <v>101.37</v>
      </c>
      <c r="AC8" s="46">
        <f t="shared" ref="AC8:AC15" si="12">+E8+F8+G8+H8+L8+M8+N8+O8</f>
        <v>2899</v>
      </c>
      <c r="AD8" s="46">
        <f t="shared" si="1"/>
        <v>9744.5</v>
      </c>
      <c r="AE8" s="47">
        <f t="shared" si="2"/>
        <v>0</v>
      </c>
    </row>
    <row r="9" spans="2:31">
      <c r="B9" s="4" t="s">
        <v>26</v>
      </c>
      <c r="C9" s="7">
        <v>5478</v>
      </c>
      <c r="D9" s="15">
        <v>0.75</v>
      </c>
      <c r="E9" s="7">
        <v>0</v>
      </c>
      <c r="F9" s="15">
        <v>0</v>
      </c>
      <c r="G9" s="27">
        <v>0</v>
      </c>
      <c r="H9" s="15">
        <v>0</v>
      </c>
      <c r="I9" s="25">
        <f t="shared" si="3"/>
        <v>5478</v>
      </c>
      <c r="J9" s="7">
        <v>2021</v>
      </c>
      <c r="K9" s="15">
        <f>0.5+0.5+0.75</f>
        <v>1.75</v>
      </c>
      <c r="L9" s="7">
        <v>0</v>
      </c>
      <c r="M9" s="18">
        <v>0</v>
      </c>
      <c r="N9" s="7">
        <v>2353</v>
      </c>
      <c r="O9" s="18">
        <v>0.65</v>
      </c>
      <c r="P9" s="25">
        <f t="shared" si="4"/>
        <v>4374</v>
      </c>
      <c r="Q9" s="8">
        <f>33.27+22.67+25.91+50.49</f>
        <v>132.34</v>
      </c>
      <c r="R9" s="18">
        <f t="shared" si="5"/>
        <v>3.15</v>
      </c>
      <c r="S9" s="26">
        <f>+I9+P9</f>
        <v>9852</v>
      </c>
      <c r="T9" s="13">
        <v>0</v>
      </c>
      <c r="U9" s="12">
        <f t="shared" si="7"/>
        <v>9852</v>
      </c>
      <c r="W9" s="44" t="s">
        <v>4</v>
      </c>
      <c r="X9" s="45">
        <f t="shared" si="8"/>
        <v>9852</v>
      </c>
      <c r="Y9" s="45">
        <f t="shared" si="9"/>
        <v>3.15</v>
      </c>
      <c r="Z9" s="45">
        <f t="shared" si="0"/>
        <v>9855.15</v>
      </c>
      <c r="AA9" s="45">
        <f>+C9+D9+J9+K9-Q9</f>
        <v>7369.16</v>
      </c>
      <c r="AB9" s="45">
        <f t="shared" si="11"/>
        <v>132.34</v>
      </c>
      <c r="AC9" s="46">
        <f t="shared" si="12"/>
        <v>2353.65</v>
      </c>
      <c r="AD9" s="46">
        <f t="shared" si="1"/>
        <v>9855.15</v>
      </c>
      <c r="AE9" s="47">
        <f t="shared" si="2"/>
        <v>0</v>
      </c>
    </row>
    <row r="10" spans="2:31">
      <c r="B10" s="4" t="s">
        <v>27</v>
      </c>
      <c r="C10" s="7">
        <v>6054</v>
      </c>
      <c r="D10" s="15">
        <v>0</v>
      </c>
      <c r="E10" s="7">
        <v>1002</v>
      </c>
      <c r="F10" s="15">
        <v>0.5</v>
      </c>
      <c r="G10" s="27">
        <v>0</v>
      </c>
      <c r="H10" s="15">
        <v>0</v>
      </c>
      <c r="I10" s="25">
        <f t="shared" si="3"/>
        <v>7056</v>
      </c>
      <c r="J10" s="7">
        <v>104</v>
      </c>
      <c r="K10" s="15">
        <v>0</v>
      </c>
      <c r="L10" s="7">
        <v>0</v>
      </c>
      <c r="M10" s="15">
        <v>0</v>
      </c>
      <c r="N10" s="27">
        <v>0</v>
      </c>
      <c r="O10" s="15">
        <v>0</v>
      </c>
      <c r="P10" s="25">
        <f t="shared" si="4"/>
        <v>104</v>
      </c>
      <c r="Q10" s="8">
        <v>6.8</v>
      </c>
      <c r="R10" s="18">
        <f t="shared" si="5"/>
        <v>0.5</v>
      </c>
      <c r="S10" s="26">
        <f>+I10+P10</f>
        <v>7160</v>
      </c>
      <c r="T10" s="13">
        <v>0</v>
      </c>
      <c r="U10" s="12">
        <f t="shared" si="7"/>
        <v>7160</v>
      </c>
      <c r="W10" s="44" t="s">
        <v>5</v>
      </c>
      <c r="X10" s="45">
        <f t="shared" si="8"/>
        <v>7160</v>
      </c>
      <c r="Y10" s="45">
        <f t="shared" si="9"/>
        <v>0.5</v>
      </c>
      <c r="Z10" s="45">
        <f t="shared" si="0"/>
        <v>7160.5</v>
      </c>
      <c r="AA10" s="45">
        <f t="shared" si="10"/>
        <v>6151.2</v>
      </c>
      <c r="AB10" s="45">
        <f t="shared" si="11"/>
        <v>6.8</v>
      </c>
      <c r="AC10" s="46">
        <f t="shared" si="12"/>
        <v>1002.5</v>
      </c>
      <c r="AD10" s="46">
        <f t="shared" si="1"/>
        <v>7160.5</v>
      </c>
      <c r="AE10" s="47">
        <f t="shared" si="2"/>
        <v>0</v>
      </c>
    </row>
    <row r="11" spans="2:31">
      <c r="B11" s="4" t="s">
        <v>28</v>
      </c>
      <c r="C11" s="7">
        <v>4229</v>
      </c>
      <c r="D11" s="15">
        <f>0.5+0.5+0.5+0.5</f>
        <v>2</v>
      </c>
      <c r="E11" s="7">
        <v>2092</v>
      </c>
      <c r="F11" s="15">
        <f>0.5+0.4</f>
        <v>0.9</v>
      </c>
      <c r="G11" s="27">
        <v>0</v>
      </c>
      <c r="H11" s="15">
        <v>0</v>
      </c>
      <c r="I11" s="25">
        <f t="shared" si="3"/>
        <v>6321</v>
      </c>
      <c r="J11" s="7">
        <v>0</v>
      </c>
      <c r="K11" s="15">
        <v>0</v>
      </c>
      <c r="L11" s="7">
        <v>0</v>
      </c>
      <c r="M11" s="15">
        <v>0</v>
      </c>
      <c r="N11" s="27">
        <v>0</v>
      </c>
      <c r="O11" s="15">
        <v>0</v>
      </c>
      <c r="P11" s="25">
        <f t="shared" si="4"/>
        <v>0</v>
      </c>
      <c r="Q11" s="8">
        <v>0</v>
      </c>
      <c r="R11" s="18">
        <f t="shared" si="5"/>
        <v>2.9</v>
      </c>
      <c r="S11" s="26">
        <f t="shared" si="6"/>
        <v>6321</v>
      </c>
      <c r="T11" s="13">
        <v>0</v>
      </c>
      <c r="U11" s="12">
        <f t="shared" si="7"/>
        <v>6321</v>
      </c>
      <c r="W11" s="44" t="s">
        <v>6</v>
      </c>
      <c r="X11" s="45">
        <f t="shared" si="8"/>
        <v>6321</v>
      </c>
      <c r="Y11" s="45">
        <f t="shared" si="9"/>
        <v>2.9</v>
      </c>
      <c r="Z11" s="45">
        <f t="shared" si="0"/>
        <v>6323.9</v>
      </c>
      <c r="AA11" s="45">
        <f t="shared" si="10"/>
        <v>4231</v>
      </c>
      <c r="AB11" s="45">
        <f t="shared" si="11"/>
        <v>0</v>
      </c>
      <c r="AC11" s="46">
        <f t="shared" si="12"/>
        <v>2092.9</v>
      </c>
      <c r="AD11" s="46">
        <f t="shared" si="1"/>
        <v>6323.9</v>
      </c>
      <c r="AE11" s="47">
        <f t="shared" si="2"/>
        <v>0</v>
      </c>
    </row>
    <row r="12" spans="2:31">
      <c r="B12" s="4" t="s">
        <v>29</v>
      </c>
      <c r="C12" s="7">
        <v>2986</v>
      </c>
      <c r="D12" s="15">
        <f>0.5+0.5+0.5</f>
        <v>1.5</v>
      </c>
      <c r="E12" s="7">
        <v>0</v>
      </c>
      <c r="F12" s="15">
        <v>0</v>
      </c>
      <c r="G12" s="27">
        <v>0</v>
      </c>
      <c r="H12" s="15">
        <v>0</v>
      </c>
      <c r="I12" s="25">
        <f t="shared" si="3"/>
        <v>2986</v>
      </c>
      <c r="J12" s="7">
        <v>370</v>
      </c>
      <c r="K12" s="15">
        <v>0.5</v>
      </c>
      <c r="L12" s="7">
        <v>900</v>
      </c>
      <c r="M12" s="15">
        <f>0.98+0.5+0.12</f>
        <v>1.6</v>
      </c>
      <c r="N12" s="27">
        <v>0</v>
      </c>
      <c r="O12" s="15">
        <v>0</v>
      </c>
      <c r="P12" s="25">
        <f t="shared" si="4"/>
        <v>1270</v>
      </c>
      <c r="Q12" s="8">
        <v>24.24</v>
      </c>
      <c r="R12" s="18">
        <f t="shared" si="5"/>
        <v>3.6</v>
      </c>
      <c r="S12" s="26">
        <f t="shared" si="6"/>
        <v>4256</v>
      </c>
      <c r="T12" s="13">
        <v>0</v>
      </c>
      <c r="U12" s="12">
        <f t="shared" si="7"/>
        <v>4256</v>
      </c>
      <c r="W12" s="44" t="s">
        <v>16</v>
      </c>
      <c r="X12" s="45">
        <f>+S12</f>
        <v>4256</v>
      </c>
      <c r="Y12" s="45">
        <f>+R12</f>
        <v>3.6</v>
      </c>
      <c r="Z12" s="45">
        <f>+X12+Y12</f>
        <v>4259.6000000000004</v>
      </c>
      <c r="AA12" s="45">
        <f>+C12+D12+J12+K12-Q12</f>
        <v>3333.76</v>
      </c>
      <c r="AB12" s="45">
        <f>+Q12</f>
        <v>24.24</v>
      </c>
      <c r="AC12" s="46">
        <f>+E12+F12+G12+H12+L12+M12+N12+O12</f>
        <v>901.6</v>
      </c>
      <c r="AD12" s="46">
        <f>+AA12+AB12+AC12</f>
        <v>4259.6000000000004</v>
      </c>
      <c r="AE12" s="47">
        <f>Z12-AD12</f>
        <v>0</v>
      </c>
    </row>
    <row r="13" spans="2:31">
      <c r="B13" s="4" t="s">
        <v>30</v>
      </c>
      <c r="C13" s="7">
        <v>4999</v>
      </c>
      <c r="D13" s="15">
        <v>0</v>
      </c>
      <c r="E13" s="7">
        <v>965</v>
      </c>
      <c r="F13" s="15">
        <v>0.8</v>
      </c>
      <c r="G13" s="27">
        <v>25817</v>
      </c>
      <c r="H13" s="15">
        <v>0.5</v>
      </c>
      <c r="I13" s="25">
        <f t="shared" si="3"/>
        <v>31781</v>
      </c>
      <c r="J13" s="7">
        <v>587</v>
      </c>
      <c r="K13" s="15">
        <v>0.25</v>
      </c>
      <c r="L13" s="7">
        <v>181</v>
      </c>
      <c r="M13" s="15">
        <v>0.05</v>
      </c>
      <c r="N13" s="27">
        <v>0</v>
      </c>
      <c r="O13" s="15">
        <v>0</v>
      </c>
      <c r="P13" s="25">
        <f t="shared" si="4"/>
        <v>768</v>
      </c>
      <c r="Q13" s="8">
        <v>38.42</v>
      </c>
      <c r="R13" s="18">
        <f t="shared" si="5"/>
        <v>1.6</v>
      </c>
      <c r="S13" s="26">
        <f t="shared" si="6"/>
        <v>32549</v>
      </c>
      <c r="T13" s="13">
        <v>0</v>
      </c>
      <c r="U13" s="12">
        <f t="shared" si="7"/>
        <v>32549</v>
      </c>
      <c r="W13" s="44" t="s">
        <v>17</v>
      </c>
      <c r="X13" s="45">
        <f>+S13</f>
        <v>32549</v>
      </c>
      <c r="Y13" s="45">
        <f>+R13</f>
        <v>1.6</v>
      </c>
      <c r="Z13" s="45">
        <f>+X13+Y13</f>
        <v>32550.6</v>
      </c>
      <c r="AA13" s="45">
        <f>+C13+D13+J13+K13-Q13</f>
        <v>5547.83</v>
      </c>
      <c r="AB13" s="45">
        <f>+Q13</f>
        <v>38.42</v>
      </c>
      <c r="AC13" s="46">
        <f>+E13+F13+G13+H13+L13+M13+N13+O13</f>
        <v>26964.35</v>
      </c>
      <c r="AD13" s="46">
        <f>+AA13+AB13+AC13</f>
        <v>32550.6</v>
      </c>
      <c r="AE13" s="47">
        <f>Z13-AD13</f>
        <v>0</v>
      </c>
    </row>
    <row r="14" spans="2:31">
      <c r="B14" s="4" t="s">
        <v>46</v>
      </c>
      <c r="C14" s="7">
        <v>4523</v>
      </c>
      <c r="D14" s="15">
        <v>0</v>
      </c>
      <c r="E14" s="7">
        <v>0</v>
      </c>
      <c r="F14" s="15">
        <v>0</v>
      </c>
      <c r="G14" s="27">
        <v>0</v>
      </c>
      <c r="H14" s="15">
        <v>0</v>
      </c>
      <c r="I14" s="25">
        <f t="shared" si="3"/>
        <v>4523</v>
      </c>
      <c r="J14" s="7">
        <v>248</v>
      </c>
      <c r="K14" s="15">
        <v>0.25</v>
      </c>
      <c r="L14" s="7">
        <v>0</v>
      </c>
      <c r="M14" s="15">
        <v>0</v>
      </c>
      <c r="N14" s="27">
        <v>0</v>
      </c>
      <c r="O14" s="15">
        <v>0</v>
      </c>
      <c r="P14" s="25">
        <f t="shared" si="4"/>
        <v>248</v>
      </c>
      <c r="Q14" s="8">
        <v>16.239999999999998</v>
      </c>
      <c r="R14" s="18">
        <f t="shared" si="5"/>
        <v>0.25</v>
      </c>
      <c r="S14" s="26">
        <f t="shared" si="6"/>
        <v>4771</v>
      </c>
      <c r="T14" s="13">
        <v>0</v>
      </c>
      <c r="U14" s="12">
        <f t="shared" si="7"/>
        <v>4771</v>
      </c>
      <c r="W14" s="44" t="s">
        <v>48</v>
      </c>
      <c r="X14" s="45">
        <f t="shared" si="8"/>
        <v>4771</v>
      </c>
      <c r="Y14" s="45">
        <f t="shared" si="9"/>
        <v>0.25</v>
      </c>
      <c r="Z14" s="45">
        <f t="shared" si="0"/>
        <v>4771.25</v>
      </c>
      <c r="AA14" s="45">
        <f t="shared" si="10"/>
        <v>4755.01</v>
      </c>
      <c r="AB14" s="45">
        <f t="shared" si="11"/>
        <v>16.239999999999998</v>
      </c>
      <c r="AC14" s="46">
        <f t="shared" si="12"/>
        <v>0</v>
      </c>
      <c r="AD14" s="46">
        <f t="shared" si="1"/>
        <v>4771.25</v>
      </c>
      <c r="AE14" s="47">
        <f t="shared" si="2"/>
        <v>0</v>
      </c>
    </row>
    <row r="15" spans="2:31">
      <c r="B15" s="4" t="s">
        <v>47</v>
      </c>
      <c r="C15" s="7">
        <v>2220</v>
      </c>
      <c r="D15" s="15">
        <v>0.2</v>
      </c>
      <c r="E15" s="7">
        <v>661</v>
      </c>
      <c r="F15" s="15">
        <v>0</v>
      </c>
      <c r="G15" s="27">
        <v>0</v>
      </c>
      <c r="H15" s="15">
        <v>0</v>
      </c>
      <c r="I15" s="25">
        <f t="shared" si="3"/>
        <v>2881</v>
      </c>
      <c r="J15" s="7">
        <v>1381</v>
      </c>
      <c r="K15" s="15">
        <f>0.5+0.47+0.6+0.5</f>
        <v>2.0699999999999998</v>
      </c>
      <c r="L15" s="7">
        <v>0</v>
      </c>
      <c r="M15" s="15">
        <v>0</v>
      </c>
      <c r="N15" s="27">
        <v>0</v>
      </c>
      <c r="O15" s="15">
        <v>0</v>
      </c>
      <c r="P15" s="25">
        <f t="shared" si="4"/>
        <v>1381</v>
      </c>
      <c r="Q15" s="27">
        <f>9.13+26.72+25.49+25.91+3.24</f>
        <v>90.49</v>
      </c>
      <c r="R15" s="18">
        <f t="shared" si="5"/>
        <v>2.27</v>
      </c>
      <c r="S15" s="26">
        <f t="shared" si="6"/>
        <v>4262</v>
      </c>
      <c r="T15" s="13">
        <v>0</v>
      </c>
      <c r="U15" s="12">
        <f t="shared" si="7"/>
        <v>4262</v>
      </c>
      <c r="W15" s="44" t="s">
        <v>49</v>
      </c>
      <c r="X15" s="45">
        <f t="shared" si="8"/>
        <v>4262</v>
      </c>
      <c r="Y15" s="45">
        <f t="shared" si="9"/>
        <v>2.27</v>
      </c>
      <c r="Z15" s="45">
        <f t="shared" si="0"/>
        <v>4264.2700000000004</v>
      </c>
      <c r="AA15" s="45">
        <f t="shared" si="10"/>
        <v>3512.78</v>
      </c>
      <c r="AB15" s="45">
        <f t="shared" si="11"/>
        <v>90.49</v>
      </c>
      <c r="AC15" s="46">
        <f t="shared" si="12"/>
        <v>661</v>
      </c>
      <c r="AD15" s="46">
        <f t="shared" si="1"/>
        <v>4264.2700000000004</v>
      </c>
      <c r="AE15" s="47">
        <f t="shared" si="2"/>
        <v>0</v>
      </c>
    </row>
    <row r="16" spans="2:31" ht="24" thickBot="1">
      <c r="B16" s="1" t="s">
        <v>7</v>
      </c>
      <c r="C16" s="51">
        <f t="shared" ref="C16:U16" si="13">SUM(C7:C15)</f>
        <v>41138</v>
      </c>
      <c r="D16" s="17">
        <f t="shared" si="13"/>
        <v>5.25</v>
      </c>
      <c r="E16" s="52">
        <f t="shared" si="13"/>
        <v>8151</v>
      </c>
      <c r="F16" s="16">
        <f t="shared" si="13"/>
        <v>2.2000000000000002</v>
      </c>
      <c r="G16" s="52">
        <f t="shared" si="13"/>
        <v>25817</v>
      </c>
      <c r="H16" s="16">
        <f t="shared" si="13"/>
        <v>0.5</v>
      </c>
      <c r="I16" s="39">
        <f t="shared" si="13"/>
        <v>75106</v>
      </c>
      <c r="J16" s="52">
        <f t="shared" si="13"/>
        <v>7661</v>
      </c>
      <c r="K16" s="16">
        <f t="shared" si="13"/>
        <v>5.32</v>
      </c>
      <c r="L16" s="52">
        <f t="shared" si="13"/>
        <v>1081</v>
      </c>
      <c r="M16" s="16">
        <f t="shared" si="13"/>
        <v>1.6500000000000001</v>
      </c>
      <c r="N16" s="29">
        <f t="shared" si="13"/>
        <v>2353</v>
      </c>
      <c r="O16" s="16">
        <f t="shared" si="13"/>
        <v>0.65</v>
      </c>
      <c r="P16" s="39">
        <f t="shared" si="13"/>
        <v>11095</v>
      </c>
      <c r="Q16" s="52">
        <f t="shared" si="13"/>
        <v>501.55000000000007</v>
      </c>
      <c r="R16" s="16">
        <f t="shared" si="13"/>
        <v>15.569999999999999</v>
      </c>
      <c r="S16" s="39">
        <f t="shared" si="13"/>
        <v>86201</v>
      </c>
      <c r="T16" s="36">
        <f t="shared" si="13"/>
        <v>0</v>
      </c>
      <c r="U16" s="53">
        <f t="shared" si="13"/>
        <v>86201</v>
      </c>
      <c r="W16" s="48" t="s">
        <v>9</v>
      </c>
      <c r="X16" s="49">
        <f t="shared" ref="X16:AD16" si="14">SUM(X7:X15)</f>
        <v>86201</v>
      </c>
      <c r="Y16" s="49">
        <f t="shared" si="14"/>
        <v>15.569999999999999</v>
      </c>
      <c r="Z16" s="49">
        <f t="shared" si="14"/>
        <v>86216.569999999992</v>
      </c>
      <c r="AA16" s="49">
        <f t="shared" si="14"/>
        <v>48308.020000000004</v>
      </c>
      <c r="AB16" s="49">
        <f t="shared" si="14"/>
        <v>501.55000000000007</v>
      </c>
      <c r="AC16" s="49">
        <f t="shared" si="14"/>
        <v>37407</v>
      </c>
      <c r="AD16" s="49">
        <f t="shared" si="14"/>
        <v>86216.569999999992</v>
      </c>
      <c r="AE16" s="50">
        <f t="shared" si="2"/>
        <v>0</v>
      </c>
    </row>
    <row r="17" spans="2:30" ht="24" thickTop="1">
      <c r="B17" s="9"/>
      <c r="C17" s="10"/>
      <c r="D17" s="10"/>
      <c r="E17" s="11"/>
      <c r="F17" s="11"/>
      <c r="G17" s="30"/>
      <c r="H17" s="11"/>
      <c r="I17" s="40"/>
      <c r="J17" s="11"/>
      <c r="K17" s="11"/>
      <c r="L17" s="11"/>
      <c r="M17" s="11"/>
      <c r="N17" s="30"/>
      <c r="O17" s="11"/>
      <c r="P17" s="40"/>
      <c r="Q17" s="11"/>
      <c r="R17" s="11"/>
      <c r="S17" s="40"/>
      <c r="T17" s="11"/>
      <c r="U17" s="11"/>
    </row>
    <row r="18" spans="2:30" ht="23.25" customHeight="1">
      <c r="B18" s="19" t="s">
        <v>36</v>
      </c>
      <c r="C18" s="23" t="s">
        <v>20</v>
      </c>
      <c r="D18" s="20"/>
      <c r="E18" s="11">
        <f>+I16-G16</f>
        <v>49289</v>
      </c>
      <c r="G18" s="37"/>
      <c r="K18" s="22"/>
      <c r="L18" s="32"/>
      <c r="M18" s="24"/>
      <c r="N18" s="24"/>
      <c r="O18" s="24"/>
      <c r="P18" s="24"/>
      <c r="Q18" s="24"/>
      <c r="R18" s="24"/>
      <c r="S18" s="33"/>
      <c r="X18" s="6"/>
      <c r="Y18" s="6"/>
      <c r="Z18" s="5"/>
      <c r="AA18" s="6"/>
      <c r="AB18" s="6"/>
      <c r="AC18" s="6"/>
      <c r="AD18" s="6"/>
    </row>
    <row r="19" spans="2:30">
      <c r="C19" s="21" t="s">
        <v>21</v>
      </c>
      <c r="D19" s="9"/>
      <c r="E19" s="11">
        <f>+P16-N16</f>
        <v>8742</v>
      </c>
      <c r="G19" s="54"/>
      <c r="I19" s="41"/>
      <c r="J19" s="38"/>
      <c r="K19" s="22"/>
      <c r="M19" s="24"/>
      <c r="N19" s="24"/>
      <c r="O19" s="24"/>
      <c r="P19" s="24"/>
      <c r="Q19" s="24"/>
      <c r="R19" s="24"/>
      <c r="S19" s="33"/>
    </row>
    <row r="20" spans="2:30">
      <c r="C20" s="21" t="s">
        <v>34</v>
      </c>
      <c r="D20" s="9"/>
      <c r="E20" s="10">
        <f>+G16</f>
        <v>25817</v>
      </c>
      <c r="G20" s="9"/>
      <c r="I20" s="41"/>
      <c r="J20" s="38"/>
      <c r="K20" s="22"/>
      <c r="L20" s="32"/>
      <c r="M20" s="24"/>
      <c r="N20" s="24"/>
      <c r="O20" s="24"/>
      <c r="P20" s="24"/>
      <c r="Q20" s="24"/>
      <c r="R20" s="24"/>
      <c r="S20" s="33"/>
    </row>
    <row r="21" spans="2:30">
      <c r="C21" s="21" t="s">
        <v>35</v>
      </c>
      <c r="D21" s="9"/>
      <c r="E21" s="10">
        <f>+N16</f>
        <v>2353</v>
      </c>
      <c r="I21" s="41"/>
      <c r="J21" s="38"/>
      <c r="K21" s="22"/>
      <c r="L21" s="32"/>
      <c r="M21" s="24"/>
      <c r="N21" s="24"/>
      <c r="O21" s="24"/>
      <c r="P21" s="24"/>
      <c r="Q21" s="24"/>
      <c r="R21" s="24"/>
      <c r="S21" s="33"/>
    </row>
    <row r="22" spans="2:30" ht="24" thickBot="1">
      <c r="C22" s="54" t="s">
        <v>51</v>
      </c>
      <c r="D22" s="9"/>
      <c r="E22" s="10">
        <v>0</v>
      </c>
      <c r="I22" s="41"/>
      <c r="J22" s="38"/>
      <c r="K22" s="22"/>
      <c r="L22" s="32"/>
      <c r="M22" s="24"/>
      <c r="N22" s="24"/>
      <c r="O22" s="24"/>
      <c r="P22" s="24"/>
      <c r="Q22" s="24"/>
      <c r="R22" s="24"/>
      <c r="S22" s="33"/>
    </row>
    <row r="23" spans="2:30" ht="25.8" thickBot="1">
      <c r="C23" s="58" t="s">
        <v>39</v>
      </c>
      <c r="D23" s="57"/>
      <c r="E23" s="59">
        <f>SUM(E18:E22)</f>
        <v>86201</v>
      </c>
      <c r="I23" s="41"/>
      <c r="J23" s="38"/>
      <c r="K23" s="22"/>
      <c r="L23" s="32"/>
      <c r="M23" s="24"/>
      <c r="N23" s="24"/>
      <c r="O23" s="24"/>
      <c r="P23" s="24"/>
      <c r="Q23" s="24"/>
      <c r="R23" s="24"/>
      <c r="S23" s="33"/>
      <c r="T23" s="2"/>
      <c r="V23" s="2"/>
    </row>
    <row r="24" spans="2:30">
      <c r="C24" s="54"/>
      <c r="E24" s="56"/>
      <c r="I24" s="41"/>
      <c r="J24" s="38"/>
      <c r="K24" s="22"/>
      <c r="L24" s="32"/>
      <c r="M24" s="24"/>
      <c r="N24" s="24"/>
      <c r="O24" s="24"/>
      <c r="P24" s="24"/>
      <c r="Q24" s="24"/>
      <c r="R24" s="24"/>
      <c r="S24" s="33"/>
      <c r="T24" s="2"/>
      <c r="V24" s="2"/>
    </row>
    <row r="25" spans="2:30">
      <c r="C25" s="9"/>
      <c r="E25" s="55"/>
      <c r="I25" s="41"/>
      <c r="J25" s="38"/>
      <c r="K25" s="22"/>
      <c r="L25" s="32"/>
      <c r="M25" s="24"/>
      <c r="N25" s="24"/>
      <c r="O25" s="24"/>
      <c r="P25" s="24"/>
      <c r="Q25" s="24"/>
      <c r="R25" s="24"/>
      <c r="S25" s="33"/>
      <c r="T25" s="2"/>
      <c r="V25" s="2"/>
    </row>
    <row r="26" spans="2:30">
      <c r="I26" s="41"/>
      <c r="J26" s="38"/>
      <c r="K26" s="22"/>
      <c r="L26" s="22"/>
      <c r="M26" s="22"/>
      <c r="N26" s="35"/>
      <c r="O26" s="22"/>
      <c r="P26" s="34"/>
      <c r="Q26" s="34"/>
      <c r="R26" s="34"/>
      <c r="S26" s="34"/>
      <c r="T26" s="2"/>
      <c r="V26" s="2"/>
    </row>
    <row r="27" spans="2:30">
      <c r="C27" s="2" t="s">
        <v>40</v>
      </c>
      <c r="I27" s="41"/>
      <c r="J27" s="38"/>
      <c r="K27" s="22"/>
      <c r="L27" s="22"/>
      <c r="M27" s="22"/>
      <c r="N27" s="35"/>
      <c r="O27" s="22"/>
      <c r="P27" s="34"/>
      <c r="Q27" s="34"/>
      <c r="R27" s="34"/>
      <c r="S27" s="34"/>
      <c r="T27" s="2"/>
      <c r="V27" s="2"/>
    </row>
    <row r="28" spans="2:30">
      <c r="C28" s="60" t="s">
        <v>44</v>
      </c>
      <c r="D28" s="60"/>
      <c r="E28" s="60"/>
      <c r="I28" s="60" t="s">
        <v>43</v>
      </c>
      <c r="J28" s="60"/>
      <c r="K28" s="60"/>
      <c r="T28" s="2"/>
      <c r="V28" s="2"/>
    </row>
    <row r="29" spans="2:30">
      <c r="C29" s="60" t="s">
        <v>37</v>
      </c>
      <c r="D29" s="60"/>
      <c r="E29" s="60"/>
      <c r="I29" s="60" t="s">
        <v>42</v>
      </c>
      <c r="J29" s="60"/>
      <c r="K29" s="60"/>
      <c r="T29" s="2"/>
      <c r="V29" s="2"/>
    </row>
    <row r="30" spans="2:30">
      <c r="C30" s="60" t="s">
        <v>38</v>
      </c>
      <c r="D30" s="60"/>
      <c r="E30" s="60"/>
      <c r="T30" s="2"/>
      <c r="V30" s="2"/>
    </row>
  </sheetData>
  <mergeCells count="22">
    <mergeCell ref="B5:B6"/>
    <mergeCell ref="I5:I6"/>
    <mergeCell ref="J5:O5"/>
    <mergeCell ref="AA5:AE5"/>
    <mergeCell ref="B2:U2"/>
    <mergeCell ref="B3:U3"/>
    <mergeCell ref="B4:U4"/>
    <mergeCell ref="W4:AE4"/>
    <mergeCell ref="C5:H5"/>
    <mergeCell ref="X5:Z5"/>
    <mergeCell ref="W5:W6"/>
    <mergeCell ref="T5:T6"/>
    <mergeCell ref="S5:S6"/>
    <mergeCell ref="R5:R6"/>
    <mergeCell ref="C29:E29"/>
    <mergeCell ref="U5:U6"/>
    <mergeCell ref="C30:E30"/>
    <mergeCell ref="I29:K29"/>
    <mergeCell ref="C28:E28"/>
    <mergeCell ref="P5:P6"/>
    <mergeCell ref="Q5:Q6"/>
    <mergeCell ref="I28:K28"/>
  </mergeCells>
  <phoneticPr fontId="18" type="noConversion"/>
  <pageMargins left="0.23622047244094491" right="0.15748031496062992" top="0.11811023622047245" bottom="0.11811023622047245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0"/>
  <sheetViews>
    <sheetView topLeftCell="B1" zoomScaleNormal="10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S27" sqref="S27"/>
    </sheetView>
  </sheetViews>
  <sheetFormatPr defaultColWidth="9" defaultRowHeight="23.4"/>
  <cols>
    <col min="1" max="1" width="9" style="2"/>
    <col min="2" max="2" width="11" style="2" customWidth="1"/>
    <col min="3" max="3" width="14.77734375" style="2" customWidth="1"/>
    <col min="4" max="4" width="7.109375" style="2" customWidth="1"/>
    <col min="5" max="5" width="9.77734375" style="2" customWidth="1"/>
    <col min="6" max="6" width="7.109375" style="2" customWidth="1"/>
    <col min="7" max="7" width="11.44140625" style="31" customWidth="1"/>
    <col min="8" max="8" width="7.44140625" style="2" customWidth="1"/>
    <col min="9" max="9" width="10.77734375" style="3" customWidth="1"/>
    <col min="10" max="10" width="9" style="2"/>
    <col min="11" max="11" width="7.109375" style="2" customWidth="1"/>
    <col min="12" max="12" width="9" style="2"/>
    <col min="13" max="13" width="7.109375" style="2" customWidth="1"/>
    <col min="14" max="14" width="10.21875" style="31" customWidth="1"/>
    <col min="15" max="15" width="8.88671875" style="2" customWidth="1"/>
    <col min="16" max="16" width="12.109375" style="3" customWidth="1"/>
    <col min="17" max="17" width="9" style="3"/>
    <col min="18" max="18" width="9.109375" style="3" customWidth="1"/>
    <col min="19" max="19" width="10.6640625" style="3" customWidth="1"/>
    <col min="20" max="20" width="8" style="3" customWidth="1"/>
    <col min="21" max="21" width="10.77734375" style="2" customWidth="1"/>
    <col min="22" max="22" width="3.109375" style="42" customWidth="1"/>
    <col min="23" max="23" width="9" style="2"/>
    <col min="24" max="24" width="15.33203125" style="2" customWidth="1"/>
    <col min="25" max="25" width="11.6640625" style="2" customWidth="1"/>
    <col min="26" max="26" width="9" style="2"/>
    <col min="27" max="27" width="13.21875" style="2" customWidth="1"/>
    <col min="28" max="28" width="10.77734375" style="2" customWidth="1"/>
    <col min="29" max="29" width="12" style="2" customWidth="1"/>
    <col min="30" max="30" width="10.33203125" style="2" customWidth="1"/>
    <col min="31" max="31" width="11.44140625" style="2" customWidth="1"/>
    <col min="32" max="16384" width="9" style="2"/>
  </cols>
  <sheetData>
    <row r="2" spans="2:31">
      <c r="B2" s="75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2:31">
      <c r="B3" s="75" t="s">
        <v>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31" ht="26.4">
      <c r="B4" s="76" t="s">
        <v>55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W4" s="77" t="s">
        <v>56</v>
      </c>
      <c r="X4" s="77"/>
      <c r="Y4" s="77"/>
      <c r="Z4" s="77"/>
      <c r="AA4" s="77"/>
      <c r="AB4" s="77"/>
      <c r="AC4" s="77"/>
      <c r="AD4" s="77"/>
      <c r="AE4" s="77"/>
    </row>
    <row r="5" spans="2:31">
      <c r="B5" s="68" t="s">
        <v>19</v>
      </c>
      <c r="C5" s="69" t="s">
        <v>20</v>
      </c>
      <c r="D5" s="70"/>
      <c r="E5" s="70"/>
      <c r="F5" s="70"/>
      <c r="G5" s="70"/>
      <c r="H5" s="71"/>
      <c r="I5" s="61" t="s">
        <v>31</v>
      </c>
      <c r="J5" s="69" t="s">
        <v>21</v>
      </c>
      <c r="K5" s="70"/>
      <c r="L5" s="70"/>
      <c r="M5" s="70"/>
      <c r="N5" s="70"/>
      <c r="O5" s="71"/>
      <c r="P5" s="61" t="s">
        <v>32</v>
      </c>
      <c r="Q5" s="62" t="s">
        <v>3</v>
      </c>
      <c r="R5" s="66" t="s">
        <v>33</v>
      </c>
      <c r="S5" s="64" t="s">
        <v>7</v>
      </c>
      <c r="T5" s="63" t="s">
        <v>22</v>
      </c>
      <c r="U5" s="62" t="s">
        <v>23</v>
      </c>
      <c r="W5" s="62" t="s">
        <v>0</v>
      </c>
      <c r="X5" s="72" t="s">
        <v>10</v>
      </c>
      <c r="Y5" s="73"/>
      <c r="Z5" s="74"/>
      <c r="AA5" s="72" t="s">
        <v>12</v>
      </c>
      <c r="AB5" s="73"/>
      <c r="AC5" s="73"/>
      <c r="AD5" s="73"/>
      <c r="AE5" s="74"/>
    </row>
    <row r="6" spans="2:31">
      <c r="B6" s="68"/>
      <c r="C6" s="1" t="s">
        <v>52</v>
      </c>
      <c r="D6" s="14" t="s">
        <v>8</v>
      </c>
      <c r="E6" s="1" t="s">
        <v>53</v>
      </c>
      <c r="F6" s="14" t="s">
        <v>8</v>
      </c>
      <c r="G6" s="28" t="s">
        <v>54</v>
      </c>
      <c r="H6" s="14" t="s">
        <v>8</v>
      </c>
      <c r="I6" s="61"/>
      <c r="J6" s="1" t="s">
        <v>52</v>
      </c>
      <c r="K6" s="14" t="s">
        <v>8</v>
      </c>
      <c r="L6" s="1" t="s">
        <v>53</v>
      </c>
      <c r="M6" s="14" t="s">
        <v>8</v>
      </c>
      <c r="N6" s="28" t="s">
        <v>54</v>
      </c>
      <c r="O6" s="14" t="s">
        <v>8</v>
      </c>
      <c r="P6" s="61"/>
      <c r="Q6" s="62"/>
      <c r="R6" s="67"/>
      <c r="S6" s="65"/>
      <c r="T6" s="63"/>
      <c r="U6" s="62"/>
      <c r="W6" s="62"/>
      <c r="X6" s="43" t="s">
        <v>11</v>
      </c>
      <c r="Y6" s="43" t="s">
        <v>8</v>
      </c>
      <c r="Z6" s="43" t="s">
        <v>7</v>
      </c>
      <c r="AA6" s="43" t="s">
        <v>13</v>
      </c>
      <c r="AB6" s="43" t="s">
        <v>3</v>
      </c>
      <c r="AC6" s="43" t="s">
        <v>14</v>
      </c>
      <c r="AD6" s="43" t="s">
        <v>7</v>
      </c>
      <c r="AE6" s="43" t="s">
        <v>15</v>
      </c>
    </row>
    <row r="7" spans="2:31">
      <c r="B7" s="4" t="s">
        <v>24</v>
      </c>
      <c r="C7" s="7">
        <v>7340</v>
      </c>
      <c r="D7" s="15">
        <v>0.5</v>
      </c>
      <c r="E7" s="7">
        <v>1471</v>
      </c>
      <c r="F7" s="15">
        <v>0</v>
      </c>
      <c r="G7" s="27">
        <v>0</v>
      </c>
      <c r="H7" s="15">
        <v>0</v>
      </c>
      <c r="I7" s="25">
        <f>+C7+E7+G7</f>
        <v>8811</v>
      </c>
      <c r="J7" s="7">
        <v>333</v>
      </c>
      <c r="K7" s="15">
        <v>0.6</v>
      </c>
      <c r="L7" s="7">
        <v>0</v>
      </c>
      <c r="M7" s="15">
        <v>0</v>
      </c>
      <c r="N7" s="27">
        <v>0</v>
      </c>
      <c r="O7" s="15">
        <v>0</v>
      </c>
      <c r="P7" s="25">
        <f>+J7+L7+N7</f>
        <v>333</v>
      </c>
      <c r="Q7" s="8">
        <v>21.82</v>
      </c>
      <c r="R7" s="18">
        <f>+D7+F7+H7+K7+M7+O7</f>
        <v>1.1000000000000001</v>
      </c>
      <c r="S7" s="26">
        <f>+I7+P7</f>
        <v>9144</v>
      </c>
      <c r="T7" s="13">
        <v>0</v>
      </c>
      <c r="U7" s="12">
        <f>+S7-T7</f>
        <v>9144</v>
      </c>
      <c r="W7" s="44" t="s">
        <v>1</v>
      </c>
      <c r="X7" s="45">
        <f>+S7</f>
        <v>9144</v>
      </c>
      <c r="Y7" s="45">
        <f>+R7</f>
        <v>1.1000000000000001</v>
      </c>
      <c r="Z7" s="45">
        <f t="shared" ref="Z7:Z15" si="0">+X7+Y7</f>
        <v>9145.1</v>
      </c>
      <c r="AA7" s="45">
        <f>+C7+D7+J7+K7-Q7</f>
        <v>7652.2800000000007</v>
      </c>
      <c r="AB7" s="45">
        <f>+Q7</f>
        <v>21.82</v>
      </c>
      <c r="AC7" s="46">
        <f>+E7+F7+G7+H7+L7+M7+N7+O7</f>
        <v>1471</v>
      </c>
      <c r="AD7" s="46">
        <f t="shared" ref="AD7:AD15" si="1">+AA7+AB7+AC7</f>
        <v>9145.1</v>
      </c>
      <c r="AE7" s="47">
        <f t="shared" ref="AE7:AE16" si="2">Z7-AD7</f>
        <v>0</v>
      </c>
    </row>
    <row r="8" spans="2:31">
      <c r="B8" s="4" t="s">
        <v>25</v>
      </c>
      <c r="C8" s="7">
        <v>5290</v>
      </c>
      <c r="D8" s="15">
        <v>0</v>
      </c>
      <c r="E8" s="7">
        <v>2964</v>
      </c>
      <c r="F8" s="15">
        <v>0</v>
      </c>
      <c r="G8" s="27">
        <v>0</v>
      </c>
      <c r="H8" s="15">
        <v>0</v>
      </c>
      <c r="I8" s="25">
        <f t="shared" ref="I8:I15" si="3">+C8+E8+G8</f>
        <v>8254</v>
      </c>
      <c r="J8" s="7">
        <v>146</v>
      </c>
      <c r="K8" s="15">
        <v>0.25</v>
      </c>
      <c r="L8" s="7">
        <v>263</v>
      </c>
      <c r="M8" s="15">
        <v>0.25</v>
      </c>
      <c r="N8" s="27">
        <v>0</v>
      </c>
      <c r="O8" s="15">
        <v>0</v>
      </c>
      <c r="P8" s="25">
        <f t="shared" ref="P8:P15" si="4">+J8+L8+N8</f>
        <v>409</v>
      </c>
      <c r="Q8" s="8">
        <v>9.57</v>
      </c>
      <c r="R8" s="18">
        <f t="shared" ref="R8:R15" si="5">+D8+F8+H8+K8+M8+O8</f>
        <v>0.5</v>
      </c>
      <c r="S8" s="26">
        <f t="shared" ref="S8:S15" si="6">+I8+P8</f>
        <v>8663</v>
      </c>
      <c r="T8" s="13">
        <v>0</v>
      </c>
      <c r="U8" s="12">
        <f t="shared" ref="U8:U15" si="7">+S8-T8</f>
        <v>8663</v>
      </c>
      <c r="W8" s="44" t="s">
        <v>2</v>
      </c>
      <c r="X8" s="45">
        <f t="shared" ref="X8:X15" si="8">+S8</f>
        <v>8663</v>
      </c>
      <c r="Y8" s="45">
        <f t="shared" ref="Y8:Y15" si="9">+R8</f>
        <v>0.5</v>
      </c>
      <c r="Z8" s="45">
        <f t="shared" si="0"/>
        <v>8663.5</v>
      </c>
      <c r="AA8" s="45">
        <f t="shared" ref="AA8:AA15" si="10">+C8+D8+J8+K8-Q8</f>
        <v>5426.68</v>
      </c>
      <c r="AB8" s="45">
        <f t="shared" ref="AB8:AB15" si="11">+Q8</f>
        <v>9.57</v>
      </c>
      <c r="AC8" s="46">
        <f t="shared" ref="AC8:AC15" si="12">+E8+F8+G8+H8+L8+M8+N8+O8</f>
        <v>3227.25</v>
      </c>
      <c r="AD8" s="46">
        <f t="shared" si="1"/>
        <v>8663.5</v>
      </c>
      <c r="AE8" s="47">
        <f t="shared" si="2"/>
        <v>0</v>
      </c>
    </row>
    <row r="9" spans="2:31">
      <c r="B9" s="4" t="s">
        <v>26</v>
      </c>
      <c r="C9" s="7">
        <v>10445</v>
      </c>
      <c r="D9" s="15">
        <f>0.25+0.75+0.2</f>
        <v>1.2</v>
      </c>
      <c r="E9" s="7">
        <v>3382</v>
      </c>
      <c r="F9" s="15">
        <v>0</v>
      </c>
      <c r="G9" s="27">
        <v>0</v>
      </c>
      <c r="H9" s="15">
        <v>0</v>
      </c>
      <c r="I9" s="25">
        <f t="shared" si="3"/>
        <v>13827</v>
      </c>
      <c r="J9" s="7">
        <v>432</v>
      </c>
      <c r="K9" s="15">
        <v>0</v>
      </c>
      <c r="L9" s="7">
        <v>0</v>
      </c>
      <c r="M9" s="18">
        <v>0</v>
      </c>
      <c r="N9" s="7">
        <v>0</v>
      </c>
      <c r="O9" s="18">
        <v>0</v>
      </c>
      <c r="P9" s="25">
        <f t="shared" si="4"/>
        <v>432</v>
      </c>
      <c r="Q9" s="8">
        <f>15.5+12.76</f>
        <v>28.259999999999998</v>
      </c>
      <c r="R9" s="18">
        <f t="shared" si="5"/>
        <v>1.2</v>
      </c>
      <c r="S9" s="26">
        <f>+I9+P9</f>
        <v>14259</v>
      </c>
      <c r="T9" s="13">
        <v>0</v>
      </c>
      <c r="U9" s="12">
        <f t="shared" si="7"/>
        <v>14259</v>
      </c>
      <c r="W9" s="44" t="s">
        <v>4</v>
      </c>
      <c r="X9" s="45">
        <f t="shared" si="8"/>
        <v>14259</v>
      </c>
      <c r="Y9" s="45">
        <f t="shared" si="9"/>
        <v>1.2</v>
      </c>
      <c r="Z9" s="45">
        <f t="shared" si="0"/>
        <v>14260.2</v>
      </c>
      <c r="AA9" s="45">
        <f>+C9+D9+J9+K9-Q9</f>
        <v>10849.94</v>
      </c>
      <c r="AB9" s="45">
        <f t="shared" si="11"/>
        <v>28.259999999999998</v>
      </c>
      <c r="AC9" s="46">
        <f t="shared" si="12"/>
        <v>3382</v>
      </c>
      <c r="AD9" s="46">
        <f t="shared" si="1"/>
        <v>14260.2</v>
      </c>
      <c r="AE9" s="47">
        <f t="shared" si="2"/>
        <v>0</v>
      </c>
    </row>
    <row r="10" spans="2:31">
      <c r="B10" s="4" t="s">
        <v>27</v>
      </c>
      <c r="C10" s="7">
        <v>8522</v>
      </c>
      <c r="D10" s="15">
        <f>0.5+0.6+0.5+0.5</f>
        <v>2.1</v>
      </c>
      <c r="E10" s="7">
        <v>3543</v>
      </c>
      <c r="F10" s="15">
        <v>0.2</v>
      </c>
      <c r="G10" s="27">
        <v>0</v>
      </c>
      <c r="H10" s="15">
        <v>0</v>
      </c>
      <c r="I10" s="25">
        <f t="shared" si="3"/>
        <v>12065</v>
      </c>
      <c r="J10" s="7">
        <v>0</v>
      </c>
      <c r="K10" s="15">
        <v>0</v>
      </c>
      <c r="L10" s="7">
        <v>0</v>
      </c>
      <c r="M10" s="15">
        <v>0</v>
      </c>
      <c r="N10" s="27">
        <v>0</v>
      </c>
      <c r="O10" s="15">
        <v>0</v>
      </c>
      <c r="P10" s="25">
        <f t="shared" si="4"/>
        <v>0</v>
      </c>
      <c r="Q10" s="8">
        <v>0</v>
      </c>
      <c r="R10" s="18">
        <f t="shared" si="5"/>
        <v>2.3000000000000003</v>
      </c>
      <c r="S10" s="26">
        <f>+I10+P10</f>
        <v>12065</v>
      </c>
      <c r="T10" s="13">
        <v>0</v>
      </c>
      <c r="U10" s="12">
        <f t="shared" si="7"/>
        <v>12065</v>
      </c>
      <c r="W10" s="44" t="s">
        <v>5</v>
      </c>
      <c r="X10" s="45">
        <f t="shared" si="8"/>
        <v>12065</v>
      </c>
      <c r="Y10" s="45">
        <f t="shared" si="9"/>
        <v>2.3000000000000003</v>
      </c>
      <c r="Z10" s="45">
        <f t="shared" si="0"/>
        <v>12067.3</v>
      </c>
      <c r="AA10" s="45">
        <f t="shared" si="10"/>
        <v>8524.1</v>
      </c>
      <c r="AB10" s="45">
        <f t="shared" si="11"/>
        <v>0</v>
      </c>
      <c r="AC10" s="46">
        <f t="shared" si="12"/>
        <v>3543.2</v>
      </c>
      <c r="AD10" s="46">
        <f t="shared" si="1"/>
        <v>12067.3</v>
      </c>
      <c r="AE10" s="47">
        <f t="shared" si="2"/>
        <v>0</v>
      </c>
    </row>
    <row r="11" spans="2:31">
      <c r="B11" s="4" t="s">
        <v>28</v>
      </c>
      <c r="C11" s="7">
        <v>6227</v>
      </c>
      <c r="D11" s="15">
        <f>0.25+0.5+0.5</f>
        <v>1.25</v>
      </c>
      <c r="E11" s="7">
        <v>540</v>
      </c>
      <c r="F11" s="15">
        <v>0.5</v>
      </c>
      <c r="G11" s="27">
        <v>0</v>
      </c>
      <c r="H11" s="15">
        <v>0</v>
      </c>
      <c r="I11" s="25">
        <f t="shared" si="3"/>
        <v>6767</v>
      </c>
      <c r="J11" s="7">
        <v>1065</v>
      </c>
      <c r="K11" s="15">
        <v>0.75</v>
      </c>
      <c r="L11" s="7">
        <v>0</v>
      </c>
      <c r="M11" s="15">
        <v>0</v>
      </c>
      <c r="N11" s="27">
        <v>0</v>
      </c>
      <c r="O11" s="15">
        <v>0</v>
      </c>
      <c r="P11" s="25">
        <f t="shared" si="4"/>
        <v>1065</v>
      </c>
      <c r="Q11" s="8">
        <f>4.71+24.78+40.23</f>
        <v>69.72</v>
      </c>
      <c r="R11" s="18">
        <f t="shared" si="5"/>
        <v>2.5</v>
      </c>
      <c r="S11" s="26">
        <f t="shared" si="6"/>
        <v>7832</v>
      </c>
      <c r="T11" s="13">
        <v>0</v>
      </c>
      <c r="U11" s="12">
        <f t="shared" si="7"/>
        <v>7832</v>
      </c>
      <c r="W11" s="44" t="s">
        <v>6</v>
      </c>
      <c r="X11" s="45">
        <f t="shared" si="8"/>
        <v>7832</v>
      </c>
      <c r="Y11" s="45">
        <f t="shared" si="9"/>
        <v>2.5</v>
      </c>
      <c r="Z11" s="45">
        <f t="shared" si="0"/>
        <v>7834.5</v>
      </c>
      <c r="AA11" s="45">
        <f t="shared" si="10"/>
        <v>7224.28</v>
      </c>
      <c r="AB11" s="45">
        <f t="shared" si="11"/>
        <v>69.72</v>
      </c>
      <c r="AC11" s="46">
        <f t="shared" si="12"/>
        <v>540.5</v>
      </c>
      <c r="AD11" s="46">
        <f t="shared" si="1"/>
        <v>7834.5</v>
      </c>
      <c r="AE11" s="47">
        <f t="shared" si="2"/>
        <v>0</v>
      </c>
    </row>
    <row r="12" spans="2:31">
      <c r="B12" s="4" t="s">
        <v>29</v>
      </c>
      <c r="C12" s="7">
        <v>894</v>
      </c>
      <c r="D12" s="15">
        <v>0</v>
      </c>
      <c r="E12" s="7">
        <v>1291</v>
      </c>
      <c r="F12" s="15">
        <v>0</v>
      </c>
      <c r="G12" s="27">
        <v>0</v>
      </c>
      <c r="H12" s="15">
        <v>0</v>
      </c>
      <c r="I12" s="25">
        <f t="shared" si="3"/>
        <v>2185</v>
      </c>
      <c r="J12" s="7">
        <v>2328</v>
      </c>
      <c r="K12" s="15">
        <f>0.5+0.5+0.5</f>
        <v>1.5</v>
      </c>
      <c r="L12" s="7">
        <v>270</v>
      </c>
      <c r="M12" s="15">
        <v>0.75</v>
      </c>
      <c r="N12" s="27">
        <v>0</v>
      </c>
      <c r="O12" s="15">
        <v>0</v>
      </c>
      <c r="P12" s="25">
        <f t="shared" si="4"/>
        <v>2598</v>
      </c>
      <c r="Q12" s="8">
        <f>20.12+16.68+19.63+48.38+26.69+20.9</f>
        <v>152.4</v>
      </c>
      <c r="R12" s="18">
        <f t="shared" si="5"/>
        <v>2.25</v>
      </c>
      <c r="S12" s="26">
        <f t="shared" si="6"/>
        <v>4783</v>
      </c>
      <c r="T12" s="13">
        <v>0</v>
      </c>
      <c r="U12" s="12">
        <f t="shared" si="7"/>
        <v>4783</v>
      </c>
      <c r="W12" s="44" t="s">
        <v>16</v>
      </c>
      <c r="X12" s="45">
        <f>+S12</f>
        <v>4783</v>
      </c>
      <c r="Y12" s="45">
        <f>+R12</f>
        <v>2.25</v>
      </c>
      <c r="Z12" s="45">
        <f>+X12+Y12</f>
        <v>4785.25</v>
      </c>
      <c r="AA12" s="45">
        <f>+C12+D12+J12+K12-Q12</f>
        <v>3071.1</v>
      </c>
      <c r="AB12" s="45">
        <f>+Q12</f>
        <v>152.4</v>
      </c>
      <c r="AC12" s="46">
        <f>+E12+F12+G12+H12+L12+M12+N12+O12</f>
        <v>1561.75</v>
      </c>
      <c r="AD12" s="46">
        <f>+AA12+AB12+AC12</f>
        <v>4785.25</v>
      </c>
      <c r="AE12" s="47">
        <f>Z12-AD12</f>
        <v>0</v>
      </c>
    </row>
    <row r="13" spans="2:31">
      <c r="B13" s="4" t="s">
        <v>30</v>
      </c>
      <c r="C13" s="7">
        <v>3562</v>
      </c>
      <c r="D13" s="15">
        <f>0.25+0.5</f>
        <v>0.75</v>
      </c>
      <c r="E13" s="7">
        <v>1292</v>
      </c>
      <c r="F13" s="15">
        <v>0</v>
      </c>
      <c r="G13" s="27">
        <v>0</v>
      </c>
      <c r="H13" s="15">
        <v>0</v>
      </c>
      <c r="I13" s="25">
        <f t="shared" si="3"/>
        <v>4854</v>
      </c>
      <c r="J13" s="7">
        <v>471</v>
      </c>
      <c r="K13" s="7">
        <f>0.75+0.75</f>
        <v>1.5</v>
      </c>
      <c r="L13" s="7">
        <v>0</v>
      </c>
      <c r="M13" s="15">
        <v>0</v>
      </c>
      <c r="N13" s="27">
        <v>0</v>
      </c>
      <c r="O13" s="15">
        <v>0</v>
      </c>
      <c r="P13" s="25">
        <f t="shared" si="4"/>
        <v>471</v>
      </c>
      <c r="Q13" s="8">
        <f>11.04+19.87</f>
        <v>30.91</v>
      </c>
      <c r="R13" s="18">
        <f t="shared" si="5"/>
        <v>2.25</v>
      </c>
      <c r="S13" s="26">
        <f t="shared" si="6"/>
        <v>5325</v>
      </c>
      <c r="T13" s="13">
        <v>0</v>
      </c>
      <c r="U13" s="12">
        <f t="shared" si="7"/>
        <v>5325</v>
      </c>
      <c r="W13" s="44" t="s">
        <v>17</v>
      </c>
      <c r="X13" s="45">
        <f>+S13</f>
        <v>5325</v>
      </c>
      <c r="Y13" s="45">
        <f>+R13</f>
        <v>2.25</v>
      </c>
      <c r="Z13" s="45">
        <f>+X13+Y13</f>
        <v>5327.25</v>
      </c>
      <c r="AA13" s="45">
        <f>+C13+D13+J13+K13-Q13</f>
        <v>4004.34</v>
      </c>
      <c r="AB13" s="45">
        <f>+Q13</f>
        <v>30.91</v>
      </c>
      <c r="AC13" s="46">
        <f>+E13+F13+G13+H13+L13+M13+N13+O13</f>
        <v>1292</v>
      </c>
      <c r="AD13" s="46">
        <f>+AA13+AB13+AC13</f>
        <v>5327.25</v>
      </c>
      <c r="AE13" s="47">
        <f>Z13-AD13</f>
        <v>0</v>
      </c>
    </row>
    <row r="14" spans="2:31">
      <c r="B14" s="4" t="s">
        <v>46</v>
      </c>
      <c r="C14" s="7">
        <v>890</v>
      </c>
      <c r="D14" s="15">
        <v>0.5</v>
      </c>
      <c r="E14" s="7">
        <v>0</v>
      </c>
      <c r="F14" s="15">
        <v>0</v>
      </c>
      <c r="G14" s="27">
        <v>0</v>
      </c>
      <c r="H14" s="15">
        <v>0</v>
      </c>
      <c r="I14" s="25">
        <f t="shared" si="3"/>
        <v>890</v>
      </c>
      <c r="J14" s="7">
        <v>732</v>
      </c>
      <c r="K14" s="15">
        <v>0</v>
      </c>
      <c r="L14" s="7">
        <v>0</v>
      </c>
      <c r="M14" s="15">
        <v>0</v>
      </c>
      <c r="N14" s="27">
        <v>0</v>
      </c>
      <c r="O14" s="15">
        <v>0</v>
      </c>
      <c r="P14" s="25">
        <f t="shared" si="4"/>
        <v>732</v>
      </c>
      <c r="Q14" s="8">
        <f>35.33+12.56</f>
        <v>47.89</v>
      </c>
      <c r="R14" s="18">
        <f t="shared" si="5"/>
        <v>0.5</v>
      </c>
      <c r="S14" s="26">
        <f t="shared" si="6"/>
        <v>1622</v>
      </c>
      <c r="T14" s="13">
        <v>0</v>
      </c>
      <c r="U14" s="12">
        <f t="shared" si="7"/>
        <v>1622</v>
      </c>
      <c r="W14" s="44" t="s">
        <v>48</v>
      </c>
      <c r="X14" s="45">
        <f t="shared" si="8"/>
        <v>1622</v>
      </c>
      <c r="Y14" s="45">
        <f t="shared" si="9"/>
        <v>0.5</v>
      </c>
      <c r="Z14" s="45">
        <f t="shared" si="0"/>
        <v>1622.5</v>
      </c>
      <c r="AA14" s="45">
        <f t="shared" si="10"/>
        <v>1574.61</v>
      </c>
      <c r="AB14" s="45">
        <f t="shared" si="11"/>
        <v>47.89</v>
      </c>
      <c r="AC14" s="46">
        <f t="shared" si="12"/>
        <v>0</v>
      </c>
      <c r="AD14" s="46">
        <f t="shared" si="1"/>
        <v>1622.5</v>
      </c>
      <c r="AE14" s="47">
        <f t="shared" si="2"/>
        <v>0</v>
      </c>
    </row>
    <row r="15" spans="2:31">
      <c r="B15" s="4" t="s">
        <v>47</v>
      </c>
      <c r="C15" s="7">
        <v>982</v>
      </c>
      <c r="D15" s="15">
        <v>0</v>
      </c>
      <c r="E15" s="7">
        <v>0</v>
      </c>
      <c r="F15" s="15">
        <v>0</v>
      </c>
      <c r="G15" s="27">
        <v>0</v>
      </c>
      <c r="H15" s="15">
        <v>0</v>
      </c>
      <c r="I15" s="25">
        <f t="shared" si="3"/>
        <v>982</v>
      </c>
      <c r="J15" s="7">
        <v>1208</v>
      </c>
      <c r="K15" s="15">
        <f>0.75+0.2+0.4+0.5</f>
        <v>1.85</v>
      </c>
      <c r="L15" s="7">
        <v>0</v>
      </c>
      <c r="M15" s="15">
        <v>0</v>
      </c>
      <c r="N15" s="27">
        <v>0</v>
      </c>
      <c r="O15" s="15">
        <v>0</v>
      </c>
      <c r="P15" s="25">
        <f t="shared" si="4"/>
        <v>1208</v>
      </c>
      <c r="Q15" s="27">
        <f>24.78+10.15+11.93+32.29</f>
        <v>79.150000000000006</v>
      </c>
      <c r="R15" s="18">
        <f t="shared" si="5"/>
        <v>1.85</v>
      </c>
      <c r="S15" s="26">
        <f t="shared" si="6"/>
        <v>2190</v>
      </c>
      <c r="T15" s="13">
        <v>0</v>
      </c>
      <c r="U15" s="12">
        <f t="shared" si="7"/>
        <v>2190</v>
      </c>
      <c r="W15" s="44" t="s">
        <v>49</v>
      </c>
      <c r="X15" s="45">
        <f t="shared" si="8"/>
        <v>2190</v>
      </c>
      <c r="Y15" s="45">
        <f t="shared" si="9"/>
        <v>1.85</v>
      </c>
      <c r="Z15" s="45">
        <f t="shared" si="0"/>
        <v>2191.85</v>
      </c>
      <c r="AA15" s="45">
        <f t="shared" si="10"/>
        <v>2112.6999999999998</v>
      </c>
      <c r="AB15" s="45">
        <f t="shared" si="11"/>
        <v>79.150000000000006</v>
      </c>
      <c r="AC15" s="46">
        <f t="shared" si="12"/>
        <v>0</v>
      </c>
      <c r="AD15" s="46">
        <f t="shared" si="1"/>
        <v>2191.85</v>
      </c>
      <c r="AE15" s="47">
        <f t="shared" si="2"/>
        <v>0</v>
      </c>
    </row>
    <row r="16" spans="2:31" ht="24" thickBot="1">
      <c r="B16" s="1" t="s">
        <v>7</v>
      </c>
      <c r="C16" s="51">
        <f t="shared" ref="C16:U16" si="13">SUM(C7:C15)</f>
        <v>44152</v>
      </c>
      <c r="D16" s="17">
        <f t="shared" si="13"/>
        <v>6.3</v>
      </c>
      <c r="E16" s="52">
        <f t="shared" si="13"/>
        <v>14483</v>
      </c>
      <c r="F16" s="16">
        <f t="shared" si="13"/>
        <v>0.7</v>
      </c>
      <c r="G16" s="52">
        <f t="shared" si="13"/>
        <v>0</v>
      </c>
      <c r="H16" s="16">
        <f t="shared" si="13"/>
        <v>0</v>
      </c>
      <c r="I16" s="39">
        <f t="shared" si="13"/>
        <v>58635</v>
      </c>
      <c r="J16" s="52">
        <f t="shared" si="13"/>
        <v>6715</v>
      </c>
      <c r="K16" s="16">
        <f t="shared" si="13"/>
        <v>6.4499999999999993</v>
      </c>
      <c r="L16" s="52">
        <f t="shared" si="13"/>
        <v>533</v>
      </c>
      <c r="M16" s="16">
        <f t="shared" si="13"/>
        <v>1</v>
      </c>
      <c r="N16" s="29">
        <f t="shared" si="13"/>
        <v>0</v>
      </c>
      <c r="O16" s="16">
        <f t="shared" si="13"/>
        <v>0</v>
      </c>
      <c r="P16" s="39">
        <f t="shared" si="13"/>
        <v>7248</v>
      </c>
      <c r="Q16" s="52">
        <f t="shared" si="13"/>
        <v>439.72</v>
      </c>
      <c r="R16" s="16">
        <f t="shared" si="13"/>
        <v>14.45</v>
      </c>
      <c r="S16" s="39">
        <f t="shared" si="13"/>
        <v>65883</v>
      </c>
      <c r="T16" s="36">
        <f t="shared" si="13"/>
        <v>0</v>
      </c>
      <c r="U16" s="53">
        <f t="shared" si="13"/>
        <v>65883</v>
      </c>
      <c r="W16" s="48" t="s">
        <v>9</v>
      </c>
      <c r="X16" s="49">
        <f t="shared" ref="X16:AD16" si="14">SUM(X7:X15)</f>
        <v>65883</v>
      </c>
      <c r="Y16" s="49">
        <f t="shared" si="14"/>
        <v>14.45</v>
      </c>
      <c r="Z16" s="49">
        <f t="shared" si="14"/>
        <v>65897.45</v>
      </c>
      <c r="AA16" s="49">
        <f t="shared" si="14"/>
        <v>50440.03</v>
      </c>
      <c r="AB16" s="49">
        <f t="shared" si="14"/>
        <v>439.72</v>
      </c>
      <c r="AC16" s="49">
        <f t="shared" si="14"/>
        <v>15017.7</v>
      </c>
      <c r="AD16" s="49">
        <f t="shared" si="14"/>
        <v>65897.45</v>
      </c>
      <c r="AE16" s="50">
        <f t="shared" si="2"/>
        <v>0</v>
      </c>
    </row>
    <row r="17" spans="2:30" ht="24" thickTop="1">
      <c r="B17" s="9"/>
      <c r="C17" s="10"/>
      <c r="D17" s="10"/>
      <c r="E17" s="11"/>
      <c r="F17" s="11"/>
      <c r="G17" s="30"/>
      <c r="H17" s="11"/>
      <c r="I17" s="40"/>
      <c r="J17" s="11"/>
      <c r="K17" s="11"/>
      <c r="L17" s="11"/>
      <c r="M17" s="11"/>
      <c r="N17" s="30"/>
      <c r="O17" s="11"/>
      <c r="P17" s="40"/>
      <c r="Q17" s="11"/>
      <c r="R17" s="11"/>
      <c r="S17" s="40"/>
      <c r="T17" s="11"/>
      <c r="U17" s="11"/>
    </row>
    <row r="18" spans="2:30" ht="23.25" customHeight="1">
      <c r="B18" s="19" t="s">
        <v>36</v>
      </c>
      <c r="C18" s="23" t="s">
        <v>20</v>
      </c>
      <c r="D18" s="20"/>
      <c r="E18" s="11">
        <f>+I16-G16</f>
        <v>58635</v>
      </c>
      <c r="G18" s="37"/>
      <c r="K18" s="22"/>
      <c r="L18" s="32"/>
      <c r="M18" s="24"/>
      <c r="N18" s="24"/>
      <c r="O18" s="24"/>
      <c r="P18" s="24"/>
      <c r="Q18" s="24"/>
      <c r="R18" s="24"/>
      <c r="S18" s="33"/>
      <c r="X18" s="6"/>
      <c r="Y18" s="6"/>
      <c r="Z18" s="5"/>
      <c r="AA18" s="6"/>
      <c r="AB18" s="6"/>
      <c r="AC18" s="6"/>
      <c r="AD18" s="6"/>
    </row>
    <row r="19" spans="2:30">
      <c r="C19" s="21" t="s">
        <v>21</v>
      </c>
      <c r="D19" s="9"/>
      <c r="E19" s="11">
        <f>+P16-N16</f>
        <v>7248</v>
      </c>
      <c r="G19" s="54"/>
      <c r="I19" s="41"/>
      <c r="J19" s="38"/>
      <c r="K19" s="22"/>
      <c r="M19" s="24"/>
      <c r="N19" s="24"/>
      <c r="O19" s="24"/>
      <c r="P19" s="24"/>
      <c r="Q19" s="24"/>
      <c r="R19" s="24"/>
      <c r="S19" s="33"/>
    </row>
    <row r="20" spans="2:30">
      <c r="C20" s="21" t="s">
        <v>34</v>
      </c>
      <c r="D20" s="9"/>
      <c r="E20" s="10">
        <f>+G16</f>
        <v>0</v>
      </c>
      <c r="G20" s="9"/>
      <c r="I20" s="41"/>
      <c r="J20" s="38"/>
      <c r="K20" s="22"/>
      <c r="L20" s="32"/>
      <c r="M20" s="24"/>
      <c r="N20" s="24"/>
      <c r="O20" s="24"/>
      <c r="P20" s="24"/>
      <c r="Q20" s="24"/>
      <c r="R20" s="24"/>
      <c r="S20" s="33"/>
    </row>
    <row r="21" spans="2:30">
      <c r="C21" s="21" t="s">
        <v>35</v>
      </c>
      <c r="D21" s="9"/>
      <c r="E21" s="10">
        <f>+N16</f>
        <v>0</v>
      </c>
      <c r="I21" s="41"/>
      <c r="J21" s="38"/>
      <c r="K21" s="22"/>
      <c r="L21" s="32"/>
      <c r="M21" s="24"/>
      <c r="N21" s="24"/>
      <c r="O21" s="24"/>
      <c r="P21" s="24"/>
      <c r="Q21" s="24"/>
      <c r="R21" s="24"/>
      <c r="S21" s="33"/>
    </row>
    <row r="22" spans="2:30" ht="24" thickBot="1">
      <c r="C22" s="54" t="s">
        <v>51</v>
      </c>
      <c r="D22" s="9"/>
      <c r="E22" s="10">
        <v>0</v>
      </c>
      <c r="I22" s="41"/>
      <c r="J22" s="38"/>
      <c r="K22" s="22"/>
      <c r="L22" s="32"/>
      <c r="M22" s="24"/>
      <c r="N22" s="24"/>
      <c r="O22" s="24"/>
      <c r="P22" s="24"/>
      <c r="Q22" s="24"/>
      <c r="R22" s="24"/>
      <c r="S22" s="33"/>
    </row>
    <row r="23" spans="2:30" ht="25.8" thickBot="1">
      <c r="C23" s="58" t="s">
        <v>39</v>
      </c>
      <c r="D23" s="57"/>
      <c r="E23" s="59">
        <f>SUM(E18:E22)</f>
        <v>65883</v>
      </c>
      <c r="I23" s="41"/>
      <c r="J23" s="38"/>
      <c r="K23" s="22"/>
      <c r="L23" s="32"/>
      <c r="M23" s="24"/>
      <c r="N23" s="24"/>
      <c r="O23" s="24"/>
      <c r="P23" s="24"/>
      <c r="Q23" s="24"/>
      <c r="R23" s="24"/>
      <c r="S23" s="33"/>
      <c r="T23" s="2"/>
      <c r="V23" s="2"/>
    </row>
    <row r="24" spans="2:30">
      <c r="C24" s="54"/>
      <c r="E24" s="56"/>
      <c r="I24" s="41"/>
      <c r="J24" s="38"/>
      <c r="K24" s="22"/>
      <c r="L24" s="32"/>
      <c r="M24" s="24"/>
      <c r="N24" s="24"/>
      <c r="O24" s="24"/>
      <c r="P24" s="24"/>
      <c r="Q24" s="24"/>
      <c r="R24" s="24"/>
      <c r="S24" s="33"/>
      <c r="T24" s="2"/>
      <c r="V24" s="2"/>
    </row>
    <row r="25" spans="2:30">
      <c r="C25" s="9"/>
      <c r="E25" s="55"/>
      <c r="I25" s="41"/>
      <c r="J25" s="38"/>
      <c r="K25" s="22"/>
      <c r="L25" s="32"/>
      <c r="M25" s="24"/>
      <c r="N25" s="24"/>
      <c r="O25" s="24"/>
      <c r="P25" s="24"/>
      <c r="Q25" s="24"/>
      <c r="R25" s="24"/>
      <c r="S25" s="33"/>
      <c r="T25" s="2"/>
      <c r="V25" s="2"/>
    </row>
    <row r="26" spans="2:30">
      <c r="I26" s="41"/>
      <c r="J26" s="38"/>
      <c r="K26" s="22"/>
      <c r="L26" s="22"/>
      <c r="M26" s="22"/>
      <c r="N26" s="35"/>
      <c r="O26" s="22"/>
      <c r="P26" s="34"/>
      <c r="Q26" s="34"/>
      <c r="R26" s="34"/>
      <c r="S26" s="34"/>
      <c r="T26" s="2"/>
      <c r="V26" s="2"/>
    </row>
    <row r="27" spans="2:30">
      <c r="C27" s="2" t="s">
        <v>40</v>
      </c>
      <c r="I27" s="41"/>
      <c r="J27" s="38"/>
      <c r="K27" s="22"/>
      <c r="L27" s="22"/>
      <c r="M27" s="22"/>
      <c r="N27" s="35"/>
      <c r="O27" s="22"/>
      <c r="P27" s="34"/>
      <c r="Q27" s="34"/>
      <c r="R27" s="34"/>
      <c r="S27" s="34"/>
      <c r="T27" s="2"/>
      <c r="V27" s="2"/>
    </row>
    <row r="28" spans="2:30">
      <c r="C28" s="60" t="s">
        <v>44</v>
      </c>
      <c r="D28" s="60"/>
      <c r="E28" s="60"/>
      <c r="I28" s="60" t="s">
        <v>43</v>
      </c>
      <c r="J28" s="60"/>
      <c r="K28" s="60"/>
      <c r="T28" s="2"/>
      <c r="V28" s="2"/>
    </row>
    <row r="29" spans="2:30">
      <c r="C29" s="60" t="s">
        <v>37</v>
      </c>
      <c r="D29" s="60"/>
      <c r="E29" s="60"/>
      <c r="I29" s="60" t="s">
        <v>42</v>
      </c>
      <c r="J29" s="60"/>
      <c r="K29" s="60"/>
      <c r="T29" s="2"/>
      <c r="V29" s="2"/>
    </row>
    <row r="30" spans="2:30">
      <c r="C30" s="60" t="s">
        <v>38</v>
      </c>
      <c r="D30" s="60"/>
      <c r="E30" s="60"/>
      <c r="T30" s="2"/>
      <c r="V30" s="2"/>
    </row>
  </sheetData>
  <mergeCells count="22">
    <mergeCell ref="W4:AE4"/>
    <mergeCell ref="B5:B6"/>
    <mergeCell ref="C5:H5"/>
    <mergeCell ref="AA5:AE5"/>
    <mergeCell ref="W5:W6"/>
    <mergeCell ref="X5:Z5"/>
    <mergeCell ref="I29:K29"/>
    <mergeCell ref="P5:P6"/>
    <mergeCell ref="Q5:Q6"/>
    <mergeCell ref="B2:U2"/>
    <mergeCell ref="B3:U3"/>
    <mergeCell ref="B4:U4"/>
    <mergeCell ref="C30:E30"/>
    <mergeCell ref="R5:R6"/>
    <mergeCell ref="S5:S6"/>
    <mergeCell ref="T5:T6"/>
    <mergeCell ref="U5:U6"/>
    <mergeCell ref="I5:I6"/>
    <mergeCell ref="J5:O5"/>
    <mergeCell ref="C28:E28"/>
    <mergeCell ref="I28:K28"/>
    <mergeCell ref="C29:E29"/>
  </mergeCells>
  <pageMargins left="0.23622047244094491" right="0.15748031496062992" top="0.11811023622047245" bottom="0.11811023622047245" header="0.11811023622047245" footer="0.11811023622047245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0"/>
  <sheetViews>
    <sheetView tabSelected="1" topLeftCell="B1" zoomScale="80" zoomScaleNormal="8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J12" sqref="J12"/>
    </sheetView>
  </sheetViews>
  <sheetFormatPr defaultColWidth="9" defaultRowHeight="23.4"/>
  <cols>
    <col min="1" max="1" width="9" style="2"/>
    <col min="2" max="2" width="11" style="2" customWidth="1"/>
    <col min="3" max="3" width="14.77734375" style="2" customWidth="1"/>
    <col min="4" max="4" width="7.109375" style="2" customWidth="1"/>
    <col min="5" max="5" width="9.77734375" style="2" customWidth="1"/>
    <col min="6" max="6" width="7.109375" style="2" customWidth="1"/>
    <col min="7" max="7" width="11.44140625" style="31" customWidth="1"/>
    <col min="8" max="8" width="7.44140625" style="2" customWidth="1"/>
    <col min="9" max="9" width="10.77734375" style="3" customWidth="1"/>
    <col min="10" max="10" width="9" style="2"/>
    <col min="11" max="11" width="7.109375" style="2" customWidth="1"/>
    <col min="12" max="12" width="9" style="2"/>
    <col min="13" max="13" width="7.109375" style="2" customWidth="1"/>
    <col min="14" max="14" width="10.21875" style="31" customWidth="1"/>
    <col min="15" max="15" width="8.88671875" style="2" customWidth="1"/>
    <col min="16" max="16" width="12.109375" style="3" customWidth="1"/>
    <col min="17" max="17" width="9" style="3"/>
    <col min="18" max="18" width="9.109375" style="3" customWidth="1"/>
    <col min="19" max="19" width="10.6640625" style="3" customWidth="1"/>
    <col min="20" max="20" width="8" style="3" customWidth="1"/>
    <col min="21" max="21" width="10.77734375" style="2" customWidth="1"/>
    <col min="22" max="22" width="3.109375" style="42" customWidth="1"/>
    <col min="23" max="23" width="9" style="2"/>
    <col min="24" max="24" width="15.33203125" style="2" customWidth="1"/>
    <col min="25" max="25" width="11.6640625" style="2" customWidth="1"/>
    <col min="26" max="26" width="9" style="2"/>
    <col min="27" max="27" width="13.21875" style="2" customWidth="1"/>
    <col min="28" max="28" width="10.77734375" style="2" customWidth="1"/>
    <col min="29" max="29" width="12" style="2" customWidth="1"/>
    <col min="30" max="30" width="10.33203125" style="2" customWidth="1"/>
    <col min="31" max="31" width="11.44140625" style="2" customWidth="1"/>
    <col min="32" max="16384" width="9" style="2"/>
  </cols>
  <sheetData>
    <row r="2" spans="2:31">
      <c r="B2" s="75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2:31">
      <c r="B3" s="75" t="s">
        <v>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31" ht="26.4"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W4" s="77" t="s">
        <v>57</v>
      </c>
      <c r="X4" s="77"/>
      <c r="Y4" s="77"/>
      <c r="Z4" s="77"/>
      <c r="AA4" s="77"/>
      <c r="AB4" s="77"/>
      <c r="AC4" s="77"/>
      <c r="AD4" s="77"/>
      <c r="AE4" s="77"/>
    </row>
    <row r="5" spans="2:31">
      <c r="B5" s="68" t="s">
        <v>19</v>
      </c>
      <c r="C5" s="69" t="s">
        <v>20</v>
      </c>
      <c r="D5" s="70"/>
      <c r="E5" s="70"/>
      <c r="F5" s="70"/>
      <c r="G5" s="70"/>
      <c r="H5" s="71"/>
      <c r="I5" s="61" t="s">
        <v>31</v>
      </c>
      <c r="J5" s="69" t="s">
        <v>21</v>
      </c>
      <c r="K5" s="70"/>
      <c r="L5" s="70"/>
      <c r="M5" s="70"/>
      <c r="N5" s="70"/>
      <c r="O5" s="71"/>
      <c r="P5" s="61" t="s">
        <v>32</v>
      </c>
      <c r="Q5" s="62" t="s">
        <v>3</v>
      </c>
      <c r="R5" s="66" t="s">
        <v>33</v>
      </c>
      <c r="S5" s="64" t="s">
        <v>7</v>
      </c>
      <c r="T5" s="63" t="s">
        <v>22</v>
      </c>
      <c r="U5" s="62" t="s">
        <v>23</v>
      </c>
      <c r="W5" s="62" t="s">
        <v>0</v>
      </c>
      <c r="X5" s="72" t="s">
        <v>10</v>
      </c>
      <c r="Y5" s="73"/>
      <c r="Z5" s="74"/>
      <c r="AA5" s="72" t="s">
        <v>12</v>
      </c>
      <c r="AB5" s="73"/>
      <c r="AC5" s="73"/>
      <c r="AD5" s="73"/>
      <c r="AE5" s="74"/>
    </row>
    <row r="6" spans="2:31">
      <c r="B6" s="68"/>
      <c r="C6" s="1" t="s">
        <v>52</v>
      </c>
      <c r="D6" s="14" t="s">
        <v>8</v>
      </c>
      <c r="E6" s="1" t="s">
        <v>53</v>
      </c>
      <c r="F6" s="14" t="s">
        <v>8</v>
      </c>
      <c r="G6" s="28" t="s">
        <v>54</v>
      </c>
      <c r="H6" s="14" t="s">
        <v>8</v>
      </c>
      <c r="I6" s="61"/>
      <c r="J6" s="1" t="s">
        <v>52</v>
      </c>
      <c r="K6" s="14" t="s">
        <v>8</v>
      </c>
      <c r="L6" s="1" t="s">
        <v>53</v>
      </c>
      <c r="M6" s="14" t="s">
        <v>8</v>
      </c>
      <c r="N6" s="28" t="s">
        <v>54</v>
      </c>
      <c r="O6" s="14" t="s">
        <v>8</v>
      </c>
      <c r="P6" s="61"/>
      <c r="Q6" s="62"/>
      <c r="R6" s="67"/>
      <c r="S6" s="65"/>
      <c r="T6" s="63"/>
      <c r="U6" s="62"/>
      <c r="W6" s="62"/>
      <c r="X6" s="43" t="s">
        <v>11</v>
      </c>
      <c r="Y6" s="43" t="s">
        <v>8</v>
      </c>
      <c r="Z6" s="43" t="s">
        <v>7</v>
      </c>
      <c r="AA6" s="43" t="s">
        <v>13</v>
      </c>
      <c r="AB6" s="43" t="s">
        <v>3</v>
      </c>
      <c r="AC6" s="43" t="s">
        <v>14</v>
      </c>
      <c r="AD6" s="43" t="s">
        <v>7</v>
      </c>
      <c r="AE6" s="43" t="s">
        <v>15</v>
      </c>
    </row>
    <row r="7" spans="2:31">
      <c r="B7" s="4" t="s">
        <v>24</v>
      </c>
      <c r="C7" s="7">
        <v>4887</v>
      </c>
      <c r="D7" s="15">
        <f>0.75+0.5</f>
        <v>1.25</v>
      </c>
      <c r="E7" s="7">
        <v>169</v>
      </c>
      <c r="F7" s="15">
        <v>0</v>
      </c>
      <c r="G7" s="27">
        <v>0</v>
      </c>
      <c r="H7" s="15">
        <v>0</v>
      </c>
      <c r="I7" s="25">
        <f>+C7+E7+G7</f>
        <v>5056</v>
      </c>
      <c r="J7" s="7">
        <v>1211</v>
      </c>
      <c r="K7" s="15">
        <f>0.75+0.68+0.5</f>
        <v>1.9300000000000002</v>
      </c>
      <c r="L7" s="7">
        <v>45</v>
      </c>
      <c r="M7" s="15">
        <v>0</v>
      </c>
      <c r="N7" s="27">
        <v>0</v>
      </c>
      <c r="O7" s="15">
        <v>0</v>
      </c>
      <c r="P7" s="25">
        <f>+J7+L7+N7</f>
        <v>1256</v>
      </c>
      <c r="Q7" s="8">
        <f>26.15+22.68+21.98+8.54</f>
        <v>79.349999999999994</v>
      </c>
      <c r="R7" s="18">
        <f>+D7+F7+H7+K7+M7+O7</f>
        <v>3.18</v>
      </c>
      <c r="S7" s="26">
        <f>+I7+P7</f>
        <v>6312</v>
      </c>
      <c r="T7" s="13">
        <v>0</v>
      </c>
      <c r="U7" s="12">
        <f>+S7-T7</f>
        <v>6312</v>
      </c>
      <c r="W7" s="44" t="s">
        <v>1</v>
      </c>
      <c r="X7" s="45">
        <f>+S7</f>
        <v>6312</v>
      </c>
      <c r="Y7" s="45">
        <f>+R7</f>
        <v>3.18</v>
      </c>
      <c r="Z7" s="45">
        <f t="shared" ref="Z7:Z15" si="0">+X7+Y7</f>
        <v>6315.18</v>
      </c>
      <c r="AA7" s="45">
        <f>+C7+D7+J7+K7-Q7</f>
        <v>6021.83</v>
      </c>
      <c r="AB7" s="45">
        <f>+Q7</f>
        <v>79.349999999999994</v>
      </c>
      <c r="AC7" s="46">
        <f>+E7+F7+G7+H7+L7+M7+N7+O7</f>
        <v>214</v>
      </c>
      <c r="AD7" s="46">
        <f t="shared" ref="AD7:AD15" si="1">+AA7+AB7+AC7</f>
        <v>6315.18</v>
      </c>
      <c r="AE7" s="47">
        <f t="shared" ref="AE7:AE16" si="2">Z7-AD7</f>
        <v>0</v>
      </c>
    </row>
    <row r="8" spans="2:31">
      <c r="B8" s="4" t="s">
        <v>25</v>
      </c>
      <c r="C8" s="7">
        <v>4913</v>
      </c>
      <c r="D8" s="15">
        <f>0.5+0.25</f>
        <v>0.75</v>
      </c>
      <c r="E8" s="7">
        <v>3643</v>
      </c>
      <c r="F8" s="15">
        <v>0</v>
      </c>
      <c r="G8" s="27">
        <v>0</v>
      </c>
      <c r="H8" s="15">
        <v>0</v>
      </c>
      <c r="I8" s="25">
        <f t="shared" ref="I8:I15" si="3">+C8+E8+G8</f>
        <v>8556</v>
      </c>
      <c r="J8" s="7">
        <v>943</v>
      </c>
      <c r="K8" s="15">
        <v>0.5</v>
      </c>
      <c r="L8" s="7">
        <v>346</v>
      </c>
      <c r="M8" s="15">
        <v>0.4</v>
      </c>
      <c r="N8" s="27">
        <v>0</v>
      </c>
      <c r="O8" s="15">
        <v>0</v>
      </c>
      <c r="P8" s="25">
        <f t="shared" ref="P8:P15" si="4">+J8+L8+N8</f>
        <v>1289</v>
      </c>
      <c r="Q8" s="8">
        <f>28.46+33.27</f>
        <v>61.730000000000004</v>
      </c>
      <c r="R8" s="18">
        <f t="shared" ref="R8:R15" si="5">+D8+F8+H8+K8+M8+O8</f>
        <v>1.65</v>
      </c>
      <c r="S8" s="26">
        <f t="shared" ref="S8:S15" si="6">+I8+P8</f>
        <v>9845</v>
      </c>
      <c r="T8" s="13">
        <v>0</v>
      </c>
      <c r="U8" s="12">
        <f t="shared" ref="U8:U15" si="7">+S8-T8</f>
        <v>9845</v>
      </c>
      <c r="W8" s="44" t="s">
        <v>2</v>
      </c>
      <c r="X8" s="45">
        <f t="shared" ref="X8:X15" si="8">+S8</f>
        <v>9845</v>
      </c>
      <c r="Y8" s="45">
        <f t="shared" ref="Y8:Y15" si="9">+R8</f>
        <v>1.65</v>
      </c>
      <c r="Z8" s="45">
        <f t="shared" si="0"/>
        <v>9846.65</v>
      </c>
      <c r="AA8" s="45">
        <f t="shared" ref="AA8:AA15" si="10">+C8+D8+J8+K8-Q8</f>
        <v>5795.52</v>
      </c>
      <c r="AB8" s="45">
        <f t="shared" ref="AB8:AB15" si="11">+Q8</f>
        <v>61.730000000000004</v>
      </c>
      <c r="AC8" s="46">
        <f t="shared" ref="AC8:AC15" si="12">+E8+F8+G8+H8+L8+M8+N8+O8</f>
        <v>3989.4</v>
      </c>
      <c r="AD8" s="46">
        <f t="shared" si="1"/>
        <v>9846.65</v>
      </c>
      <c r="AE8" s="47">
        <f t="shared" si="2"/>
        <v>0</v>
      </c>
    </row>
    <row r="9" spans="2:31">
      <c r="B9" s="4" t="s">
        <v>26</v>
      </c>
      <c r="C9" s="7">
        <v>4847</v>
      </c>
      <c r="D9" s="15">
        <v>0.25</v>
      </c>
      <c r="E9" s="7">
        <v>420</v>
      </c>
      <c r="F9" s="15">
        <v>0</v>
      </c>
      <c r="G9" s="27">
        <v>0</v>
      </c>
      <c r="H9" s="15">
        <v>0</v>
      </c>
      <c r="I9" s="25">
        <f t="shared" si="3"/>
        <v>5267</v>
      </c>
      <c r="J9" s="7">
        <v>1274</v>
      </c>
      <c r="K9" s="15">
        <v>0.25</v>
      </c>
      <c r="L9" s="7">
        <v>0</v>
      </c>
      <c r="M9" s="18">
        <v>0</v>
      </c>
      <c r="N9" s="7">
        <v>0</v>
      </c>
      <c r="O9" s="18">
        <v>0</v>
      </c>
      <c r="P9" s="25">
        <f t="shared" si="4"/>
        <v>1274</v>
      </c>
      <c r="Q9" s="8">
        <f>11.19+44.36+19.43+8.39</f>
        <v>83.36999999999999</v>
      </c>
      <c r="R9" s="18">
        <f t="shared" si="5"/>
        <v>0.5</v>
      </c>
      <c r="S9" s="26">
        <f>+I9+P9</f>
        <v>6541</v>
      </c>
      <c r="T9" s="13">
        <v>0</v>
      </c>
      <c r="U9" s="12">
        <f t="shared" si="7"/>
        <v>6541</v>
      </c>
      <c r="W9" s="44" t="s">
        <v>4</v>
      </c>
      <c r="X9" s="45">
        <f t="shared" si="8"/>
        <v>6541</v>
      </c>
      <c r="Y9" s="45">
        <f t="shared" si="9"/>
        <v>0.5</v>
      </c>
      <c r="Z9" s="45">
        <f t="shared" si="0"/>
        <v>6541.5</v>
      </c>
      <c r="AA9" s="45">
        <f>+C9+D9+J9+K9-Q9</f>
        <v>6038.13</v>
      </c>
      <c r="AB9" s="45">
        <f t="shared" si="11"/>
        <v>83.36999999999999</v>
      </c>
      <c r="AC9" s="46">
        <f t="shared" si="12"/>
        <v>420</v>
      </c>
      <c r="AD9" s="46">
        <f t="shared" si="1"/>
        <v>6541.5</v>
      </c>
      <c r="AE9" s="47">
        <f t="shared" si="2"/>
        <v>0</v>
      </c>
    </row>
    <row r="10" spans="2:31">
      <c r="B10" s="4" t="s">
        <v>27</v>
      </c>
      <c r="C10" s="7">
        <v>6145</v>
      </c>
      <c r="D10" s="15">
        <f>0.6+0.4+0.5+0.4+0.4+0.5+0.5+0.6</f>
        <v>3.9</v>
      </c>
      <c r="E10" s="7">
        <v>1316</v>
      </c>
      <c r="F10" s="15">
        <f>0.6+0.6+0.4</f>
        <v>1.6</v>
      </c>
      <c r="G10" s="27">
        <v>0</v>
      </c>
      <c r="H10" s="15">
        <v>0</v>
      </c>
      <c r="I10" s="25">
        <f t="shared" si="3"/>
        <v>7461</v>
      </c>
      <c r="J10" s="7">
        <v>2263</v>
      </c>
      <c r="K10" s="15">
        <v>0.85</v>
      </c>
      <c r="L10" s="7">
        <v>0</v>
      </c>
      <c r="M10" s="15">
        <v>0</v>
      </c>
      <c r="N10" s="27">
        <v>0</v>
      </c>
      <c r="O10" s="15">
        <v>0</v>
      </c>
      <c r="P10" s="25">
        <f t="shared" si="4"/>
        <v>2263</v>
      </c>
      <c r="Q10" s="8">
        <v>148.1</v>
      </c>
      <c r="R10" s="18">
        <f t="shared" si="5"/>
        <v>6.35</v>
      </c>
      <c r="S10" s="26">
        <f>+I10+P10</f>
        <v>9724</v>
      </c>
      <c r="T10" s="13">
        <v>0</v>
      </c>
      <c r="U10" s="12">
        <f t="shared" si="7"/>
        <v>9724</v>
      </c>
      <c r="W10" s="44" t="s">
        <v>5</v>
      </c>
      <c r="X10" s="45">
        <f t="shared" si="8"/>
        <v>9724</v>
      </c>
      <c r="Y10" s="45">
        <f t="shared" si="9"/>
        <v>6.35</v>
      </c>
      <c r="Z10" s="45">
        <f t="shared" si="0"/>
        <v>9730.35</v>
      </c>
      <c r="AA10" s="45">
        <f t="shared" si="10"/>
        <v>8264.65</v>
      </c>
      <c r="AB10" s="45">
        <f t="shared" si="11"/>
        <v>148.1</v>
      </c>
      <c r="AC10" s="46">
        <f t="shared" si="12"/>
        <v>1317.6</v>
      </c>
      <c r="AD10" s="46">
        <f t="shared" si="1"/>
        <v>9730.35</v>
      </c>
      <c r="AE10" s="47">
        <f t="shared" si="2"/>
        <v>0</v>
      </c>
    </row>
    <row r="11" spans="2:31">
      <c r="B11" s="4" t="s">
        <v>28</v>
      </c>
      <c r="C11" s="7">
        <v>1429</v>
      </c>
      <c r="D11" s="15">
        <v>0</v>
      </c>
      <c r="E11" s="7">
        <v>4373</v>
      </c>
      <c r="F11" s="15">
        <f>0.5+0.8</f>
        <v>1.3</v>
      </c>
      <c r="G11" s="27">
        <v>0</v>
      </c>
      <c r="H11" s="15">
        <v>0</v>
      </c>
      <c r="I11" s="25">
        <f t="shared" si="3"/>
        <v>5802</v>
      </c>
      <c r="J11" s="7">
        <v>2080</v>
      </c>
      <c r="K11" s="15">
        <v>0.5</v>
      </c>
      <c r="L11" s="7">
        <v>896</v>
      </c>
      <c r="M11" s="15">
        <v>0.25</v>
      </c>
      <c r="N11" s="27">
        <v>0</v>
      </c>
      <c r="O11" s="15">
        <v>0</v>
      </c>
      <c r="P11" s="25">
        <f t="shared" si="4"/>
        <v>2976</v>
      </c>
      <c r="Q11" s="8">
        <f>20.61+89+26.5</f>
        <v>136.11000000000001</v>
      </c>
      <c r="R11" s="18">
        <f t="shared" si="5"/>
        <v>2.0499999999999998</v>
      </c>
      <c r="S11" s="26">
        <f t="shared" si="6"/>
        <v>8778</v>
      </c>
      <c r="T11" s="13">
        <v>0</v>
      </c>
      <c r="U11" s="12">
        <f t="shared" si="7"/>
        <v>8778</v>
      </c>
      <c r="W11" s="44" t="s">
        <v>6</v>
      </c>
      <c r="X11" s="45">
        <f t="shared" si="8"/>
        <v>8778</v>
      </c>
      <c r="Y11" s="45">
        <f t="shared" si="9"/>
        <v>2.0499999999999998</v>
      </c>
      <c r="Z11" s="45">
        <f t="shared" si="0"/>
        <v>8780.0499999999993</v>
      </c>
      <c r="AA11" s="45">
        <f t="shared" si="10"/>
        <v>3373.39</v>
      </c>
      <c r="AB11" s="45">
        <f t="shared" si="11"/>
        <v>136.11000000000001</v>
      </c>
      <c r="AC11" s="46">
        <f t="shared" si="12"/>
        <v>5270.55</v>
      </c>
      <c r="AD11" s="46">
        <f t="shared" si="1"/>
        <v>8780.0499999999993</v>
      </c>
      <c r="AE11" s="47">
        <f t="shared" si="2"/>
        <v>0</v>
      </c>
    </row>
    <row r="12" spans="2:31">
      <c r="B12" s="4" t="s">
        <v>29</v>
      </c>
      <c r="C12" s="7">
        <v>1714</v>
      </c>
      <c r="D12" s="15">
        <v>0</v>
      </c>
      <c r="E12" s="7">
        <v>216</v>
      </c>
      <c r="F12" s="15">
        <v>0</v>
      </c>
      <c r="G12" s="27">
        <v>0</v>
      </c>
      <c r="H12" s="15">
        <v>0</v>
      </c>
      <c r="I12" s="25">
        <f t="shared" si="3"/>
        <v>1930</v>
      </c>
      <c r="J12" s="7">
        <v>764</v>
      </c>
      <c r="K12" s="15">
        <v>0.25</v>
      </c>
      <c r="L12" s="7">
        <v>403</v>
      </c>
      <c r="M12" s="15">
        <v>0.71</v>
      </c>
      <c r="N12" s="27">
        <v>0</v>
      </c>
      <c r="O12" s="15">
        <v>0</v>
      </c>
      <c r="P12" s="25">
        <f t="shared" si="4"/>
        <v>1167</v>
      </c>
      <c r="Q12" s="8">
        <f>26.69+23.31</f>
        <v>50</v>
      </c>
      <c r="R12" s="18">
        <f t="shared" si="5"/>
        <v>0.96</v>
      </c>
      <c r="S12" s="26">
        <f t="shared" si="6"/>
        <v>3097</v>
      </c>
      <c r="T12" s="13">
        <v>0</v>
      </c>
      <c r="U12" s="12">
        <f t="shared" si="7"/>
        <v>3097</v>
      </c>
      <c r="W12" s="44" t="s">
        <v>16</v>
      </c>
      <c r="X12" s="45">
        <f>+S12</f>
        <v>3097</v>
      </c>
      <c r="Y12" s="45">
        <f>+R12</f>
        <v>0.96</v>
      </c>
      <c r="Z12" s="45">
        <f>+X12+Y12</f>
        <v>3097.96</v>
      </c>
      <c r="AA12" s="45">
        <f>+C12+D12+J12+K12-Q12</f>
        <v>2428.25</v>
      </c>
      <c r="AB12" s="45">
        <f>+Q12</f>
        <v>50</v>
      </c>
      <c r="AC12" s="46">
        <f>+E12+F12+G12+H12+L12+M12+N12+O12</f>
        <v>619.71</v>
      </c>
      <c r="AD12" s="46">
        <f>+AA12+AB12+AC12</f>
        <v>3097.96</v>
      </c>
      <c r="AE12" s="47">
        <f>Z12-AD12</f>
        <v>0</v>
      </c>
    </row>
    <row r="13" spans="2:31">
      <c r="B13" s="4" t="s">
        <v>30</v>
      </c>
      <c r="C13" s="7">
        <v>2424</v>
      </c>
      <c r="D13" s="15">
        <v>0</v>
      </c>
      <c r="E13" s="7">
        <v>975</v>
      </c>
      <c r="F13" s="15">
        <v>0</v>
      </c>
      <c r="G13" s="27">
        <v>49927</v>
      </c>
      <c r="H13" s="15">
        <v>0.5</v>
      </c>
      <c r="I13" s="25">
        <f t="shared" si="3"/>
        <v>53326</v>
      </c>
      <c r="J13" s="7">
        <v>751</v>
      </c>
      <c r="K13" s="15">
        <f>0.25+0.25</f>
        <v>0.5</v>
      </c>
      <c r="L13" s="7">
        <v>0</v>
      </c>
      <c r="M13" s="15">
        <v>0</v>
      </c>
      <c r="N13" s="27">
        <v>0</v>
      </c>
      <c r="O13" s="15">
        <v>0</v>
      </c>
      <c r="P13" s="25">
        <f t="shared" si="4"/>
        <v>751</v>
      </c>
      <c r="Q13" s="8">
        <f>37.83+11.33</f>
        <v>49.16</v>
      </c>
      <c r="R13" s="18">
        <f t="shared" si="5"/>
        <v>1</v>
      </c>
      <c r="S13" s="26">
        <f t="shared" si="6"/>
        <v>54077</v>
      </c>
      <c r="T13" s="13">
        <v>0</v>
      </c>
      <c r="U13" s="12">
        <f t="shared" si="7"/>
        <v>54077</v>
      </c>
      <c r="W13" s="44" t="s">
        <v>17</v>
      </c>
      <c r="X13" s="45">
        <f>+S13</f>
        <v>54077</v>
      </c>
      <c r="Y13" s="45">
        <f>+R13</f>
        <v>1</v>
      </c>
      <c r="Z13" s="45">
        <f>+X13+Y13</f>
        <v>54078</v>
      </c>
      <c r="AA13" s="45">
        <f>+C13+D13+J13+K13-Q13</f>
        <v>3126.34</v>
      </c>
      <c r="AB13" s="45">
        <f>+Q13</f>
        <v>49.16</v>
      </c>
      <c r="AC13" s="46">
        <f>+E13+F13+G13+H13+L13+M13+N13+O13</f>
        <v>50902.5</v>
      </c>
      <c r="AD13" s="46">
        <f>+AA13+AB13+AC13</f>
        <v>54078</v>
      </c>
      <c r="AE13" s="47">
        <f>Z13-AD13</f>
        <v>0</v>
      </c>
    </row>
    <row r="14" spans="2:31">
      <c r="B14" s="4" t="s">
        <v>46</v>
      </c>
      <c r="C14" s="7">
        <v>1259</v>
      </c>
      <c r="D14" s="15">
        <v>0.5</v>
      </c>
      <c r="E14" s="7">
        <v>0</v>
      </c>
      <c r="F14" s="15">
        <v>0</v>
      </c>
      <c r="G14" s="27">
        <v>0</v>
      </c>
      <c r="H14" s="15">
        <v>0</v>
      </c>
      <c r="I14" s="25">
        <f t="shared" si="3"/>
        <v>1259</v>
      </c>
      <c r="J14" s="7">
        <v>176</v>
      </c>
      <c r="K14" s="7">
        <v>0.25</v>
      </c>
      <c r="L14" s="7">
        <v>0</v>
      </c>
      <c r="M14" s="15">
        <v>0</v>
      </c>
      <c r="N14" s="27">
        <v>0</v>
      </c>
      <c r="O14" s="15">
        <v>0</v>
      </c>
      <c r="P14" s="25">
        <f t="shared" si="4"/>
        <v>176</v>
      </c>
      <c r="Q14" s="8">
        <v>11.53</v>
      </c>
      <c r="R14" s="18">
        <f t="shared" si="5"/>
        <v>0.75</v>
      </c>
      <c r="S14" s="26">
        <f t="shared" si="6"/>
        <v>1435</v>
      </c>
      <c r="T14" s="13">
        <v>0</v>
      </c>
      <c r="U14" s="12">
        <f t="shared" si="7"/>
        <v>1435</v>
      </c>
      <c r="W14" s="44" t="s">
        <v>48</v>
      </c>
      <c r="X14" s="45">
        <f t="shared" si="8"/>
        <v>1435</v>
      </c>
      <c r="Y14" s="45">
        <f t="shared" si="9"/>
        <v>0.75</v>
      </c>
      <c r="Z14" s="45">
        <f t="shared" si="0"/>
        <v>1435.75</v>
      </c>
      <c r="AA14" s="45">
        <f t="shared" si="10"/>
        <v>1424.22</v>
      </c>
      <c r="AB14" s="45">
        <f t="shared" si="11"/>
        <v>11.53</v>
      </c>
      <c r="AC14" s="46">
        <f t="shared" si="12"/>
        <v>0</v>
      </c>
      <c r="AD14" s="46">
        <f t="shared" si="1"/>
        <v>1435.75</v>
      </c>
      <c r="AE14" s="47">
        <f t="shared" si="2"/>
        <v>0</v>
      </c>
    </row>
    <row r="15" spans="2:31">
      <c r="B15" s="4" t="s">
        <v>47</v>
      </c>
      <c r="C15" s="7">
        <v>2471</v>
      </c>
      <c r="D15" s="15">
        <f>0.5+0.2</f>
        <v>0.7</v>
      </c>
      <c r="E15" s="7">
        <v>1441</v>
      </c>
      <c r="F15" s="15">
        <v>0.5</v>
      </c>
      <c r="G15" s="27">
        <v>0</v>
      </c>
      <c r="H15" s="15">
        <v>0</v>
      </c>
      <c r="I15" s="25">
        <f t="shared" si="3"/>
        <v>3912</v>
      </c>
      <c r="J15" s="7">
        <v>2553</v>
      </c>
      <c r="K15" s="15">
        <f>0.5+0.5+0.4+0.25</f>
        <v>1.65</v>
      </c>
      <c r="L15" s="7">
        <v>0</v>
      </c>
      <c r="M15" s="15">
        <v>0</v>
      </c>
      <c r="N15" s="27">
        <v>0</v>
      </c>
      <c r="O15" s="15">
        <v>0</v>
      </c>
      <c r="P15" s="25">
        <f t="shared" si="4"/>
        <v>2553</v>
      </c>
      <c r="Q15" s="27">
        <f>15.01+27.25+24.23+24.34+40.18+36.11</f>
        <v>167.12</v>
      </c>
      <c r="R15" s="18">
        <f t="shared" si="5"/>
        <v>2.8499999999999996</v>
      </c>
      <c r="S15" s="26">
        <f t="shared" si="6"/>
        <v>6465</v>
      </c>
      <c r="T15" s="13">
        <v>0</v>
      </c>
      <c r="U15" s="12">
        <f t="shared" si="7"/>
        <v>6465</v>
      </c>
      <c r="W15" s="44" t="s">
        <v>49</v>
      </c>
      <c r="X15" s="45">
        <f t="shared" si="8"/>
        <v>6465</v>
      </c>
      <c r="Y15" s="45">
        <f t="shared" si="9"/>
        <v>2.8499999999999996</v>
      </c>
      <c r="Z15" s="45">
        <f t="shared" si="0"/>
        <v>6467.85</v>
      </c>
      <c r="AA15" s="45">
        <f t="shared" si="10"/>
        <v>4859.2299999999996</v>
      </c>
      <c r="AB15" s="45">
        <f t="shared" si="11"/>
        <v>167.12</v>
      </c>
      <c r="AC15" s="46">
        <f t="shared" si="12"/>
        <v>1441.5</v>
      </c>
      <c r="AD15" s="46">
        <f t="shared" si="1"/>
        <v>6467.8499999999995</v>
      </c>
      <c r="AE15" s="47">
        <f t="shared" si="2"/>
        <v>0</v>
      </c>
    </row>
    <row r="16" spans="2:31" ht="24" thickBot="1">
      <c r="B16" s="1" t="s">
        <v>7</v>
      </c>
      <c r="C16" s="51">
        <f t="shared" ref="C16:U16" si="13">SUM(C7:C15)</f>
        <v>30089</v>
      </c>
      <c r="D16" s="17">
        <f t="shared" si="13"/>
        <v>7.3500000000000005</v>
      </c>
      <c r="E16" s="52">
        <f t="shared" si="13"/>
        <v>12553</v>
      </c>
      <c r="F16" s="16">
        <f t="shared" si="13"/>
        <v>3.4000000000000004</v>
      </c>
      <c r="G16" s="52">
        <f t="shared" si="13"/>
        <v>49927</v>
      </c>
      <c r="H16" s="16">
        <f t="shared" si="13"/>
        <v>0.5</v>
      </c>
      <c r="I16" s="39">
        <f t="shared" si="13"/>
        <v>92569</v>
      </c>
      <c r="J16" s="52">
        <f t="shared" si="13"/>
        <v>12015</v>
      </c>
      <c r="K16" s="16">
        <f t="shared" si="13"/>
        <v>6.68</v>
      </c>
      <c r="L16" s="52">
        <f t="shared" si="13"/>
        <v>1690</v>
      </c>
      <c r="M16" s="16">
        <f t="shared" si="13"/>
        <v>1.3599999999999999</v>
      </c>
      <c r="N16" s="29">
        <f t="shared" si="13"/>
        <v>0</v>
      </c>
      <c r="O16" s="16">
        <f t="shared" si="13"/>
        <v>0</v>
      </c>
      <c r="P16" s="39">
        <f t="shared" si="13"/>
        <v>13705</v>
      </c>
      <c r="Q16" s="52">
        <f t="shared" si="13"/>
        <v>786.46999999999991</v>
      </c>
      <c r="R16" s="16">
        <f t="shared" si="13"/>
        <v>19.29</v>
      </c>
      <c r="S16" s="39">
        <f t="shared" si="13"/>
        <v>106274</v>
      </c>
      <c r="T16" s="36">
        <f t="shared" si="13"/>
        <v>0</v>
      </c>
      <c r="U16" s="53">
        <f t="shared" si="13"/>
        <v>106274</v>
      </c>
      <c r="W16" s="48" t="s">
        <v>9</v>
      </c>
      <c r="X16" s="49">
        <f t="shared" ref="X16:AD16" si="14">SUM(X7:X15)</f>
        <v>106274</v>
      </c>
      <c r="Y16" s="49">
        <f t="shared" si="14"/>
        <v>19.29</v>
      </c>
      <c r="Z16" s="49">
        <f t="shared" si="14"/>
        <v>106293.29000000001</v>
      </c>
      <c r="AA16" s="49">
        <f t="shared" si="14"/>
        <v>41331.56</v>
      </c>
      <c r="AB16" s="49">
        <f t="shared" si="14"/>
        <v>786.46999999999991</v>
      </c>
      <c r="AC16" s="49">
        <f t="shared" si="14"/>
        <v>64175.259999999995</v>
      </c>
      <c r="AD16" s="49">
        <f t="shared" si="14"/>
        <v>106293.29000000001</v>
      </c>
      <c r="AE16" s="50">
        <f t="shared" si="2"/>
        <v>0</v>
      </c>
    </row>
    <row r="17" spans="2:30" ht="24" thickTop="1">
      <c r="B17" s="9"/>
      <c r="C17" s="10"/>
      <c r="D17" s="10"/>
      <c r="E17" s="11"/>
      <c r="F17" s="11"/>
      <c r="G17" s="30"/>
      <c r="H17" s="11"/>
      <c r="I17" s="40"/>
      <c r="J17" s="11"/>
      <c r="K17" s="11"/>
      <c r="L17" s="11"/>
      <c r="M17" s="11"/>
      <c r="N17" s="30"/>
      <c r="O17" s="11"/>
      <c r="P17" s="40"/>
      <c r="Q17" s="11"/>
      <c r="R17" s="11"/>
      <c r="S17" s="40"/>
      <c r="T17" s="11"/>
      <c r="U17" s="11"/>
    </row>
    <row r="18" spans="2:30" ht="23.25" customHeight="1">
      <c r="B18" s="19" t="s">
        <v>36</v>
      </c>
      <c r="C18" s="23" t="s">
        <v>20</v>
      </c>
      <c r="D18" s="20"/>
      <c r="E18" s="11">
        <f>+I16-G16</f>
        <v>42642</v>
      </c>
      <c r="G18" s="37"/>
      <c r="K18" s="22"/>
      <c r="L18" s="32"/>
      <c r="M18" s="24"/>
      <c r="N18" s="24"/>
      <c r="O18" s="24"/>
      <c r="P18" s="24"/>
      <c r="Q18" s="24"/>
      <c r="R18" s="24"/>
      <c r="S18" s="33"/>
      <c r="X18" s="6"/>
      <c r="Y18" s="6"/>
      <c r="Z18" s="5"/>
      <c r="AA18" s="6"/>
      <c r="AB18" s="6"/>
      <c r="AC18" s="6"/>
      <c r="AD18" s="6"/>
    </row>
    <row r="19" spans="2:30">
      <c r="C19" s="21" t="s">
        <v>21</v>
      </c>
      <c r="D19" s="9"/>
      <c r="E19" s="11">
        <f>+P16-N16</f>
        <v>13705</v>
      </c>
      <c r="G19" s="54"/>
      <c r="I19" s="41"/>
      <c r="J19" s="38"/>
      <c r="K19" s="22"/>
      <c r="M19" s="24"/>
      <c r="N19" s="24"/>
      <c r="O19" s="24"/>
      <c r="P19" s="24"/>
      <c r="Q19" s="24"/>
      <c r="R19" s="24"/>
      <c r="S19" s="33"/>
    </row>
    <row r="20" spans="2:30">
      <c r="C20" s="21" t="s">
        <v>34</v>
      </c>
      <c r="D20" s="9"/>
      <c r="E20" s="10">
        <f>+G16</f>
        <v>49927</v>
      </c>
      <c r="G20" s="9"/>
      <c r="I20" s="41"/>
      <c r="J20" s="38"/>
      <c r="K20" s="22"/>
      <c r="L20" s="32"/>
      <c r="M20" s="24"/>
      <c r="N20" s="24"/>
      <c r="O20" s="24"/>
      <c r="P20" s="24"/>
      <c r="Q20" s="24"/>
      <c r="R20" s="24"/>
      <c r="S20" s="33"/>
    </row>
    <row r="21" spans="2:30">
      <c r="C21" s="21" t="s">
        <v>35</v>
      </c>
      <c r="D21" s="9"/>
      <c r="E21" s="10">
        <f>+N16</f>
        <v>0</v>
      </c>
      <c r="I21" s="41"/>
      <c r="J21" s="38"/>
      <c r="K21" s="22"/>
      <c r="L21" s="32"/>
      <c r="M21" s="24"/>
      <c r="N21" s="24"/>
      <c r="O21" s="24"/>
      <c r="P21" s="24"/>
      <c r="Q21" s="24"/>
      <c r="R21" s="24"/>
      <c r="S21" s="33"/>
    </row>
    <row r="22" spans="2:30" ht="24" thickBot="1">
      <c r="C22" s="54" t="s">
        <v>51</v>
      </c>
      <c r="D22" s="9"/>
      <c r="E22" s="10">
        <v>1893</v>
      </c>
      <c r="I22" s="41"/>
      <c r="J22" s="38"/>
      <c r="K22" s="22"/>
      <c r="L22" s="32"/>
      <c r="M22" s="24"/>
      <c r="N22" s="24"/>
      <c r="O22" s="24"/>
      <c r="P22" s="24"/>
      <c r="Q22" s="24"/>
      <c r="R22" s="24"/>
      <c r="S22" s="33"/>
    </row>
    <row r="23" spans="2:30" ht="25.8" thickBot="1">
      <c r="C23" s="58" t="s">
        <v>39</v>
      </c>
      <c r="D23" s="57"/>
      <c r="E23" s="59">
        <f>SUM(E18:E22)</f>
        <v>108167</v>
      </c>
      <c r="I23" s="41"/>
      <c r="J23" s="38"/>
      <c r="K23" s="22"/>
      <c r="L23" s="32"/>
      <c r="M23" s="24"/>
      <c r="N23" s="24"/>
      <c r="O23" s="24"/>
      <c r="P23" s="24"/>
      <c r="Q23" s="24"/>
      <c r="R23" s="24"/>
      <c r="S23" s="33"/>
      <c r="T23" s="2"/>
      <c r="V23" s="2"/>
    </row>
    <row r="24" spans="2:30">
      <c r="C24" s="54"/>
      <c r="E24" s="56"/>
      <c r="I24" s="41"/>
      <c r="J24" s="38"/>
      <c r="K24" s="22"/>
      <c r="L24" s="32"/>
      <c r="M24" s="24"/>
      <c r="N24" s="24"/>
      <c r="O24" s="24"/>
      <c r="P24" s="24"/>
      <c r="Q24" s="24"/>
      <c r="R24" s="24"/>
      <c r="S24" s="33"/>
      <c r="T24" s="2"/>
      <c r="V24" s="2"/>
    </row>
    <row r="25" spans="2:30">
      <c r="C25" s="9"/>
      <c r="E25" s="55"/>
      <c r="I25" s="41"/>
      <c r="J25" s="38"/>
      <c r="K25" s="22"/>
      <c r="L25" s="32"/>
      <c r="M25" s="24"/>
      <c r="N25" s="24"/>
      <c r="O25" s="24"/>
      <c r="P25" s="24"/>
      <c r="Q25" s="24"/>
      <c r="R25" s="24"/>
      <c r="S25" s="33"/>
      <c r="T25" s="2"/>
      <c r="V25" s="2"/>
    </row>
    <row r="26" spans="2:30">
      <c r="I26" s="41"/>
      <c r="J26" s="38"/>
      <c r="K26" s="22"/>
      <c r="L26" s="22"/>
      <c r="M26" s="22"/>
      <c r="N26" s="35"/>
      <c r="O26" s="22"/>
      <c r="P26" s="34"/>
      <c r="Q26" s="34"/>
      <c r="R26" s="34"/>
      <c r="S26" s="34"/>
      <c r="T26" s="2"/>
      <c r="V26" s="2"/>
    </row>
    <row r="27" spans="2:30">
      <c r="C27" s="2" t="s">
        <v>40</v>
      </c>
      <c r="I27" s="41"/>
      <c r="J27" s="38"/>
      <c r="K27" s="22"/>
      <c r="L27" s="22"/>
      <c r="M27" s="22"/>
      <c r="N27" s="35"/>
      <c r="O27" s="22"/>
      <c r="P27" s="34"/>
      <c r="Q27" s="34"/>
      <c r="R27" s="34"/>
      <c r="S27" s="34"/>
      <c r="T27" s="2"/>
      <c r="V27" s="2"/>
    </row>
    <row r="28" spans="2:30">
      <c r="C28" s="60" t="s">
        <v>44</v>
      </c>
      <c r="D28" s="60"/>
      <c r="E28" s="60"/>
      <c r="I28" s="60" t="s">
        <v>43</v>
      </c>
      <c r="J28" s="60"/>
      <c r="K28" s="60"/>
      <c r="T28" s="2"/>
      <c r="V28" s="2"/>
    </row>
    <row r="29" spans="2:30">
      <c r="C29" s="60" t="s">
        <v>37</v>
      </c>
      <c r="D29" s="60"/>
      <c r="E29" s="60"/>
      <c r="I29" s="60" t="s">
        <v>42</v>
      </c>
      <c r="J29" s="60"/>
      <c r="K29" s="60"/>
      <c r="T29" s="2"/>
      <c r="V29" s="2"/>
    </row>
    <row r="30" spans="2:30">
      <c r="C30" s="60" t="s">
        <v>38</v>
      </c>
      <c r="D30" s="60"/>
      <c r="E30" s="60"/>
      <c r="T30" s="2"/>
      <c r="V30" s="2"/>
    </row>
  </sheetData>
  <mergeCells count="22">
    <mergeCell ref="B2:U2"/>
    <mergeCell ref="B3:U3"/>
    <mergeCell ref="B4:U4"/>
    <mergeCell ref="W4:AE4"/>
    <mergeCell ref="B5:B6"/>
    <mergeCell ref="C5:H5"/>
    <mergeCell ref="AA5:AE5"/>
    <mergeCell ref="C28:E28"/>
    <mergeCell ref="I28:K28"/>
    <mergeCell ref="C29:E29"/>
    <mergeCell ref="I29:K29"/>
    <mergeCell ref="P5:P6"/>
    <mergeCell ref="Q5:Q6"/>
    <mergeCell ref="W5:W6"/>
    <mergeCell ref="X5:Z5"/>
    <mergeCell ref="C30:E30"/>
    <mergeCell ref="R5:R6"/>
    <mergeCell ref="S5:S6"/>
    <mergeCell ref="T5:T6"/>
    <mergeCell ref="U5:U6"/>
    <mergeCell ref="I5:I6"/>
    <mergeCell ref="J5:O5"/>
  </mergeCells>
  <pageMargins left="0.23622047244094491" right="0.15748031496062992" top="0.11811023622047245" bottom="0.11811023622047245" header="0.11811023622047245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0"/>
  <sheetViews>
    <sheetView topLeftCell="B1" zoomScaleNormal="100" workbookViewId="0">
      <pane xSplit="1" ySplit="6" topLeftCell="C10" activePane="bottomRight" state="frozen"/>
      <selection activeCell="B1" sqref="B1"/>
      <selection pane="topRight" activeCell="C1" sqref="C1"/>
      <selection pane="bottomLeft" activeCell="B7" sqref="B7"/>
      <selection pane="bottomRight" activeCell="F15" sqref="F15"/>
    </sheetView>
  </sheetViews>
  <sheetFormatPr defaultColWidth="9" defaultRowHeight="23.4"/>
  <cols>
    <col min="1" max="1" width="9" style="2"/>
    <col min="2" max="2" width="11" style="2" customWidth="1"/>
    <col min="3" max="3" width="14.77734375" style="2" customWidth="1"/>
    <col min="4" max="4" width="7.109375" style="2" customWidth="1"/>
    <col min="5" max="5" width="9.77734375" style="2" customWidth="1"/>
    <col min="6" max="6" width="7.109375" style="2" customWidth="1"/>
    <col min="7" max="7" width="11.44140625" style="31" customWidth="1"/>
    <col min="8" max="8" width="7.44140625" style="2" customWidth="1"/>
    <col min="9" max="9" width="10.77734375" style="3" customWidth="1"/>
    <col min="10" max="10" width="9" style="2"/>
    <col min="11" max="11" width="7.109375" style="2" customWidth="1"/>
    <col min="12" max="12" width="9" style="2"/>
    <col min="13" max="13" width="7.109375" style="2" customWidth="1"/>
    <col min="14" max="14" width="10.21875" style="31" customWidth="1"/>
    <col min="15" max="15" width="8.88671875" style="2" customWidth="1"/>
    <col min="16" max="16" width="12.109375" style="3" customWidth="1"/>
    <col min="17" max="17" width="9" style="3"/>
    <col min="18" max="18" width="9.109375" style="3" customWidth="1"/>
    <col min="19" max="19" width="10.6640625" style="3" customWidth="1"/>
    <col min="20" max="20" width="8" style="3" customWidth="1"/>
    <col min="21" max="21" width="10.77734375" style="2" customWidth="1"/>
    <col min="22" max="22" width="3.109375" style="42" customWidth="1"/>
    <col min="23" max="23" width="9" style="2"/>
    <col min="24" max="24" width="15.33203125" style="2" customWidth="1"/>
    <col min="25" max="25" width="11.6640625" style="2" customWidth="1"/>
    <col min="26" max="26" width="9" style="2"/>
    <col min="27" max="27" width="13.21875" style="2" customWidth="1"/>
    <col min="28" max="28" width="10.77734375" style="2" customWidth="1"/>
    <col min="29" max="29" width="12" style="2" customWidth="1"/>
    <col min="30" max="30" width="10.33203125" style="2" customWidth="1"/>
    <col min="31" max="31" width="11.44140625" style="2" customWidth="1"/>
    <col min="32" max="16384" width="9" style="2"/>
  </cols>
  <sheetData>
    <row r="2" spans="2:31">
      <c r="B2" s="75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2:31">
      <c r="B3" s="75" t="s">
        <v>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31" ht="26.4">
      <c r="B4" s="76" t="s">
        <v>60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W4" s="77" t="s">
        <v>59</v>
      </c>
      <c r="X4" s="77"/>
      <c r="Y4" s="77"/>
      <c r="Z4" s="77"/>
      <c r="AA4" s="77"/>
      <c r="AB4" s="77"/>
      <c r="AC4" s="77"/>
      <c r="AD4" s="77"/>
      <c r="AE4" s="77"/>
    </row>
    <row r="5" spans="2:31">
      <c r="B5" s="68" t="s">
        <v>19</v>
      </c>
      <c r="C5" s="69" t="s">
        <v>20</v>
      </c>
      <c r="D5" s="70"/>
      <c r="E5" s="70"/>
      <c r="F5" s="70"/>
      <c r="G5" s="70"/>
      <c r="H5" s="71"/>
      <c r="I5" s="61" t="s">
        <v>31</v>
      </c>
      <c r="J5" s="69" t="s">
        <v>21</v>
      </c>
      <c r="K5" s="70"/>
      <c r="L5" s="70"/>
      <c r="M5" s="70"/>
      <c r="N5" s="70"/>
      <c r="O5" s="71"/>
      <c r="P5" s="61" t="s">
        <v>32</v>
      </c>
      <c r="Q5" s="62" t="s">
        <v>3</v>
      </c>
      <c r="R5" s="66" t="s">
        <v>33</v>
      </c>
      <c r="S5" s="64" t="s">
        <v>7</v>
      </c>
      <c r="T5" s="63" t="s">
        <v>22</v>
      </c>
      <c r="U5" s="62" t="s">
        <v>23</v>
      </c>
      <c r="W5" s="62" t="s">
        <v>0</v>
      </c>
      <c r="X5" s="72" t="s">
        <v>10</v>
      </c>
      <c r="Y5" s="73"/>
      <c r="Z5" s="74"/>
      <c r="AA5" s="72" t="s">
        <v>12</v>
      </c>
      <c r="AB5" s="73"/>
      <c r="AC5" s="73"/>
      <c r="AD5" s="73"/>
      <c r="AE5" s="74"/>
    </row>
    <row r="6" spans="2:31">
      <c r="B6" s="68"/>
      <c r="C6" s="1" t="s">
        <v>52</v>
      </c>
      <c r="D6" s="14" t="s">
        <v>8</v>
      </c>
      <c r="E6" s="1" t="s">
        <v>53</v>
      </c>
      <c r="F6" s="14" t="s">
        <v>8</v>
      </c>
      <c r="G6" s="28" t="s">
        <v>54</v>
      </c>
      <c r="H6" s="14" t="s">
        <v>8</v>
      </c>
      <c r="I6" s="61"/>
      <c r="J6" s="1" t="s">
        <v>52</v>
      </c>
      <c r="K6" s="14" t="s">
        <v>8</v>
      </c>
      <c r="L6" s="1" t="s">
        <v>53</v>
      </c>
      <c r="M6" s="14" t="s">
        <v>8</v>
      </c>
      <c r="N6" s="28" t="s">
        <v>54</v>
      </c>
      <c r="O6" s="14" t="s">
        <v>8</v>
      </c>
      <c r="P6" s="61"/>
      <c r="Q6" s="62"/>
      <c r="R6" s="67"/>
      <c r="S6" s="65"/>
      <c r="T6" s="63"/>
      <c r="U6" s="62"/>
      <c r="W6" s="62"/>
      <c r="X6" s="43" t="s">
        <v>11</v>
      </c>
      <c r="Y6" s="43" t="s">
        <v>8</v>
      </c>
      <c r="Z6" s="43" t="s">
        <v>7</v>
      </c>
      <c r="AA6" s="43" t="s">
        <v>13</v>
      </c>
      <c r="AB6" s="43" t="s">
        <v>3</v>
      </c>
      <c r="AC6" s="43" t="s">
        <v>14</v>
      </c>
      <c r="AD6" s="43" t="s">
        <v>7</v>
      </c>
      <c r="AE6" s="43" t="s">
        <v>15</v>
      </c>
    </row>
    <row r="7" spans="2:31">
      <c r="B7" s="4" t="s">
        <v>24</v>
      </c>
      <c r="C7" s="7">
        <v>4561</v>
      </c>
      <c r="D7" s="15">
        <v>0</v>
      </c>
      <c r="E7" s="7">
        <v>629</v>
      </c>
      <c r="F7" s="15">
        <v>0</v>
      </c>
      <c r="G7" s="27">
        <v>0</v>
      </c>
      <c r="H7" s="15">
        <v>0</v>
      </c>
      <c r="I7" s="25">
        <f>+C7+E7+G7</f>
        <v>5190</v>
      </c>
      <c r="J7" s="7">
        <v>1201</v>
      </c>
      <c r="K7" s="15">
        <f>0.5+0.75</f>
        <v>1.25</v>
      </c>
      <c r="L7" s="7">
        <v>0</v>
      </c>
      <c r="M7" s="15">
        <v>0</v>
      </c>
      <c r="N7" s="27">
        <v>0</v>
      </c>
      <c r="O7" s="15">
        <v>0</v>
      </c>
      <c r="P7" s="25">
        <f>+J7+L7+N7</f>
        <v>1201</v>
      </c>
      <c r="Q7" s="8">
        <f>40.14+38.52</f>
        <v>78.66</v>
      </c>
      <c r="R7" s="18">
        <f>+D7+F7+H7+K7+M7+O7</f>
        <v>1.25</v>
      </c>
      <c r="S7" s="26">
        <f>+I7+P7</f>
        <v>6391</v>
      </c>
      <c r="T7" s="13">
        <v>0</v>
      </c>
      <c r="U7" s="12">
        <f>+S7-T7</f>
        <v>6391</v>
      </c>
      <c r="W7" s="44" t="s">
        <v>1</v>
      </c>
      <c r="X7" s="45">
        <f>+S7</f>
        <v>6391</v>
      </c>
      <c r="Y7" s="45">
        <f>+R7</f>
        <v>1.25</v>
      </c>
      <c r="Z7" s="45">
        <f t="shared" ref="Z7:Z15" si="0">+X7+Y7</f>
        <v>6392.25</v>
      </c>
      <c r="AA7" s="45">
        <f>+C7+D7+J7+K7-Q7</f>
        <v>5684.59</v>
      </c>
      <c r="AB7" s="45">
        <f>+Q7</f>
        <v>78.66</v>
      </c>
      <c r="AC7" s="46">
        <f>+E7+F7+G7+H7+L7+M7+N7+O7</f>
        <v>629</v>
      </c>
      <c r="AD7" s="46">
        <f t="shared" ref="AD7:AD15" si="1">+AA7+AB7+AC7</f>
        <v>6392.25</v>
      </c>
      <c r="AE7" s="47">
        <f t="shared" ref="AE7:AE16" si="2">Z7-AD7</f>
        <v>0</v>
      </c>
    </row>
    <row r="8" spans="2:31">
      <c r="B8" s="4" t="s">
        <v>25</v>
      </c>
      <c r="C8" s="7">
        <v>6209</v>
      </c>
      <c r="D8" s="15">
        <v>0</v>
      </c>
      <c r="E8" s="7">
        <v>917</v>
      </c>
      <c r="F8" s="15">
        <v>0</v>
      </c>
      <c r="G8" s="27">
        <v>0</v>
      </c>
      <c r="H8" s="15">
        <v>0</v>
      </c>
      <c r="I8" s="25">
        <f t="shared" ref="I8:I15" si="3">+C8+E8+G8</f>
        <v>7126</v>
      </c>
      <c r="J8" s="7">
        <v>2058</v>
      </c>
      <c r="K8" s="15">
        <v>0.75</v>
      </c>
      <c r="L8" s="7">
        <v>0</v>
      </c>
      <c r="M8" s="15">
        <v>0</v>
      </c>
      <c r="N8" s="27">
        <v>0</v>
      </c>
      <c r="O8" s="15">
        <v>0</v>
      </c>
      <c r="P8" s="25">
        <f t="shared" ref="P8:P15" si="4">+J8+L8+N8</f>
        <v>2058</v>
      </c>
      <c r="Q8" s="8">
        <v>134.68</v>
      </c>
      <c r="R8" s="18">
        <f t="shared" ref="R8:R15" si="5">+D8+F8+H8+K8+M8+O8</f>
        <v>0.75</v>
      </c>
      <c r="S8" s="26">
        <f t="shared" ref="S8:S15" si="6">+I8+P8</f>
        <v>9184</v>
      </c>
      <c r="T8" s="13">
        <v>0</v>
      </c>
      <c r="U8" s="12">
        <f t="shared" ref="U8:U15" si="7">+S8-T8</f>
        <v>9184</v>
      </c>
      <c r="W8" s="44" t="s">
        <v>2</v>
      </c>
      <c r="X8" s="45">
        <f t="shared" ref="X8:X15" si="8">+S8</f>
        <v>9184</v>
      </c>
      <c r="Y8" s="45">
        <f t="shared" ref="Y8:Y15" si="9">+R8</f>
        <v>0.75</v>
      </c>
      <c r="Z8" s="45">
        <f t="shared" si="0"/>
        <v>9184.75</v>
      </c>
      <c r="AA8" s="45">
        <f t="shared" ref="AA8:AA15" si="10">+C8+D8+J8+K8-Q8</f>
        <v>8133.07</v>
      </c>
      <c r="AB8" s="45">
        <f t="shared" ref="AB8:AB15" si="11">+Q8</f>
        <v>134.68</v>
      </c>
      <c r="AC8" s="46">
        <f t="shared" ref="AC8:AC15" si="12">+E8+F8+G8+H8+L8+M8+N8+O8</f>
        <v>917</v>
      </c>
      <c r="AD8" s="46">
        <f t="shared" si="1"/>
        <v>9184.75</v>
      </c>
      <c r="AE8" s="47">
        <f t="shared" si="2"/>
        <v>0</v>
      </c>
    </row>
    <row r="9" spans="2:31">
      <c r="B9" s="4" t="s">
        <v>26</v>
      </c>
      <c r="C9" s="7">
        <v>2466</v>
      </c>
      <c r="D9" s="15">
        <v>0</v>
      </c>
      <c r="E9" s="7">
        <v>759</v>
      </c>
      <c r="F9" s="15">
        <v>0.2</v>
      </c>
      <c r="G9" s="27">
        <v>0</v>
      </c>
      <c r="H9" s="15">
        <v>0</v>
      </c>
      <c r="I9" s="25">
        <f t="shared" si="3"/>
        <v>3225</v>
      </c>
      <c r="J9" s="7">
        <v>337</v>
      </c>
      <c r="K9" s="15">
        <v>0.5</v>
      </c>
      <c r="L9" s="7">
        <v>0</v>
      </c>
      <c r="M9" s="18">
        <v>0</v>
      </c>
      <c r="N9" s="7">
        <v>0</v>
      </c>
      <c r="O9" s="18">
        <v>0</v>
      </c>
      <c r="P9" s="25">
        <f t="shared" si="4"/>
        <v>337</v>
      </c>
      <c r="Q9" s="8">
        <v>22.08</v>
      </c>
      <c r="R9" s="18">
        <f t="shared" si="5"/>
        <v>0.7</v>
      </c>
      <c r="S9" s="26">
        <f>+I9+P9</f>
        <v>3562</v>
      </c>
      <c r="T9" s="13">
        <v>0</v>
      </c>
      <c r="U9" s="12">
        <f t="shared" si="7"/>
        <v>3562</v>
      </c>
      <c r="W9" s="44" t="s">
        <v>4</v>
      </c>
      <c r="X9" s="45">
        <f t="shared" si="8"/>
        <v>3562</v>
      </c>
      <c r="Y9" s="45">
        <f t="shared" si="9"/>
        <v>0.7</v>
      </c>
      <c r="Z9" s="45">
        <f t="shared" si="0"/>
        <v>3562.7</v>
      </c>
      <c r="AA9" s="45">
        <f>+C9+D9+J9+K9-Q9</f>
        <v>2781.42</v>
      </c>
      <c r="AB9" s="45">
        <f t="shared" si="11"/>
        <v>22.08</v>
      </c>
      <c r="AC9" s="46">
        <f t="shared" si="12"/>
        <v>759.2</v>
      </c>
      <c r="AD9" s="46">
        <f t="shared" si="1"/>
        <v>3562.7</v>
      </c>
      <c r="AE9" s="47">
        <f t="shared" si="2"/>
        <v>0</v>
      </c>
    </row>
    <row r="10" spans="2:31">
      <c r="B10" s="4" t="s">
        <v>27</v>
      </c>
      <c r="C10" s="7">
        <v>5228</v>
      </c>
      <c r="D10" s="15">
        <v>0.5</v>
      </c>
      <c r="E10" s="7">
        <v>2339</v>
      </c>
      <c r="F10" s="15">
        <f>0.5+0.5+0.5</f>
        <v>1.5</v>
      </c>
      <c r="G10" s="27">
        <v>0</v>
      </c>
      <c r="H10" s="15">
        <v>0</v>
      </c>
      <c r="I10" s="25">
        <f t="shared" si="3"/>
        <v>7567</v>
      </c>
      <c r="J10" s="7">
        <v>368</v>
      </c>
      <c r="K10" s="15">
        <v>0</v>
      </c>
      <c r="L10" s="7">
        <v>0</v>
      </c>
      <c r="M10" s="15">
        <v>0</v>
      </c>
      <c r="N10" s="27">
        <v>0</v>
      </c>
      <c r="O10" s="15">
        <v>0</v>
      </c>
      <c r="P10" s="25">
        <f t="shared" si="4"/>
        <v>368</v>
      </c>
      <c r="Q10" s="8">
        <v>24.07</v>
      </c>
      <c r="R10" s="18">
        <f t="shared" si="5"/>
        <v>2</v>
      </c>
      <c r="S10" s="26">
        <f>+I10+P10</f>
        <v>7935</v>
      </c>
      <c r="T10" s="13">
        <v>0</v>
      </c>
      <c r="U10" s="12">
        <f t="shared" si="7"/>
        <v>7935</v>
      </c>
      <c r="W10" s="44" t="s">
        <v>5</v>
      </c>
      <c r="X10" s="45">
        <f t="shared" si="8"/>
        <v>7935</v>
      </c>
      <c r="Y10" s="45">
        <f t="shared" si="9"/>
        <v>2</v>
      </c>
      <c r="Z10" s="45">
        <f t="shared" si="0"/>
        <v>7937</v>
      </c>
      <c r="AA10" s="45">
        <f t="shared" si="10"/>
        <v>5572.43</v>
      </c>
      <c r="AB10" s="45">
        <f t="shared" si="11"/>
        <v>24.07</v>
      </c>
      <c r="AC10" s="46">
        <f t="shared" si="12"/>
        <v>2340.5</v>
      </c>
      <c r="AD10" s="46">
        <f t="shared" si="1"/>
        <v>7937</v>
      </c>
      <c r="AE10" s="47">
        <f t="shared" si="2"/>
        <v>0</v>
      </c>
    </row>
    <row r="11" spans="2:31">
      <c r="B11" s="4" t="s">
        <v>28</v>
      </c>
      <c r="C11" s="7">
        <v>4745</v>
      </c>
      <c r="D11" s="15">
        <f>0.5+0.5+0.25</f>
        <v>1.25</v>
      </c>
      <c r="E11" s="7">
        <v>698</v>
      </c>
      <c r="F11" s="15">
        <v>0.5</v>
      </c>
      <c r="G11" s="27">
        <v>0</v>
      </c>
      <c r="H11" s="15">
        <v>0</v>
      </c>
      <c r="I11" s="25">
        <f t="shared" si="3"/>
        <v>5443</v>
      </c>
      <c r="J11" s="7">
        <v>0</v>
      </c>
      <c r="K11" s="15">
        <v>0</v>
      </c>
      <c r="L11" s="7">
        <v>0</v>
      </c>
      <c r="M11" s="15">
        <v>0</v>
      </c>
      <c r="N11" s="27">
        <v>0</v>
      </c>
      <c r="O11" s="15">
        <v>0</v>
      </c>
      <c r="P11" s="25">
        <f t="shared" si="4"/>
        <v>0</v>
      </c>
      <c r="Q11" s="8">
        <v>0</v>
      </c>
      <c r="R11" s="18">
        <f t="shared" si="5"/>
        <v>1.75</v>
      </c>
      <c r="S11" s="26">
        <f t="shared" si="6"/>
        <v>5443</v>
      </c>
      <c r="T11" s="13">
        <v>0</v>
      </c>
      <c r="U11" s="12">
        <f t="shared" si="7"/>
        <v>5443</v>
      </c>
      <c r="W11" s="44" t="s">
        <v>6</v>
      </c>
      <c r="X11" s="45">
        <f t="shared" si="8"/>
        <v>5443</v>
      </c>
      <c r="Y11" s="45">
        <f t="shared" si="9"/>
        <v>1.75</v>
      </c>
      <c r="Z11" s="45">
        <f t="shared" si="0"/>
        <v>5444.75</v>
      </c>
      <c r="AA11" s="45">
        <f t="shared" si="10"/>
        <v>4746.25</v>
      </c>
      <c r="AB11" s="45">
        <f t="shared" si="11"/>
        <v>0</v>
      </c>
      <c r="AC11" s="46">
        <f t="shared" si="12"/>
        <v>698.5</v>
      </c>
      <c r="AD11" s="46">
        <f t="shared" si="1"/>
        <v>5444.75</v>
      </c>
      <c r="AE11" s="47">
        <f t="shared" si="2"/>
        <v>0</v>
      </c>
    </row>
    <row r="12" spans="2:31">
      <c r="B12" s="4" t="s">
        <v>29</v>
      </c>
      <c r="C12" s="7">
        <v>519</v>
      </c>
      <c r="D12" s="15">
        <v>0</v>
      </c>
      <c r="E12" s="7">
        <v>0</v>
      </c>
      <c r="F12" s="15">
        <v>0</v>
      </c>
      <c r="G12" s="27">
        <v>0</v>
      </c>
      <c r="H12" s="15">
        <v>0</v>
      </c>
      <c r="I12" s="25">
        <f t="shared" si="3"/>
        <v>519</v>
      </c>
      <c r="J12" s="7">
        <v>1756</v>
      </c>
      <c r="K12" s="15">
        <f>0.25+0.5+0.5</f>
        <v>1.25</v>
      </c>
      <c r="L12" s="7">
        <v>0</v>
      </c>
      <c r="M12" s="15">
        <v>0</v>
      </c>
      <c r="N12" s="27">
        <v>0</v>
      </c>
      <c r="O12" s="15">
        <v>0</v>
      </c>
      <c r="P12" s="25">
        <f t="shared" si="4"/>
        <v>1756</v>
      </c>
      <c r="Q12" s="8">
        <f>20.36+19.04+19.63+48.57+7.36</f>
        <v>114.96</v>
      </c>
      <c r="R12" s="18">
        <f t="shared" si="5"/>
        <v>1.25</v>
      </c>
      <c r="S12" s="26">
        <f t="shared" si="6"/>
        <v>2275</v>
      </c>
      <c r="T12" s="13">
        <v>0</v>
      </c>
      <c r="U12" s="12">
        <f t="shared" si="7"/>
        <v>2275</v>
      </c>
      <c r="W12" s="44" t="s">
        <v>16</v>
      </c>
      <c r="X12" s="45">
        <f>+S12</f>
        <v>2275</v>
      </c>
      <c r="Y12" s="45">
        <f>+R12</f>
        <v>1.25</v>
      </c>
      <c r="Z12" s="45">
        <f>+X12+Y12</f>
        <v>2276.25</v>
      </c>
      <c r="AA12" s="45">
        <f>+C12+D12+J12+K12-Q12</f>
        <v>2161.29</v>
      </c>
      <c r="AB12" s="45">
        <f>+Q12</f>
        <v>114.96</v>
      </c>
      <c r="AC12" s="46">
        <f>+E12+F12+G12+H12+L12+M12+N12+O12</f>
        <v>0</v>
      </c>
      <c r="AD12" s="46">
        <f>+AA12+AB12+AC12</f>
        <v>2276.25</v>
      </c>
      <c r="AE12" s="47">
        <f>Z12-AD12</f>
        <v>0</v>
      </c>
    </row>
    <row r="13" spans="2:31">
      <c r="B13" s="4" t="s">
        <v>30</v>
      </c>
      <c r="C13" s="7">
        <v>3343</v>
      </c>
      <c r="D13" s="15">
        <v>0.5</v>
      </c>
      <c r="E13" s="7">
        <v>2662</v>
      </c>
      <c r="F13" s="15">
        <f>0.25+0.25</f>
        <v>0.5</v>
      </c>
      <c r="G13" s="27">
        <v>0</v>
      </c>
      <c r="H13" s="15">
        <v>0</v>
      </c>
      <c r="I13" s="25">
        <f t="shared" si="3"/>
        <v>6005</v>
      </c>
      <c r="J13" s="7">
        <v>751</v>
      </c>
      <c r="K13" s="15">
        <v>0.5</v>
      </c>
      <c r="L13" s="7">
        <v>0</v>
      </c>
      <c r="M13" s="15">
        <v>0</v>
      </c>
      <c r="N13" s="27">
        <v>0</v>
      </c>
      <c r="O13" s="15">
        <v>0</v>
      </c>
      <c r="P13" s="25">
        <f t="shared" si="4"/>
        <v>751</v>
      </c>
      <c r="Q13" s="8">
        <f>33.56+15.6</f>
        <v>49.160000000000004</v>
      </c>
      <c r="R13" s="18">
        <f t="shared" si="5"/>
        <v>1.5</v>
      </c>
      <c r="S13" s="26">
        <f t="shared" si="6"/>
        <v>6756</v>
      </c>
      <c r="T13" s="13">
        <v>0</v>
      </c>
      <c r="U13" s="12">
        <f t="shared" si="7"/>
        <v>6756</v>
      </c>
      <c r="W13" s="44" t="s">
        <v>17</v>
      </c>
      <c r="X13" s="45">
        <f>+S13</f>
        <v>6756</v>
      </c>
      <c r="Y13" s="45">
        <f>+R13</f>
        <v>1.5</v>
      </c>
      <c r="Z13" s="45">
        <f>+X13+Y13</f>
        <v>6757.5</v>
      </c>
      <c r="AA13" s="45">
        <f>+C13+D13+J13+K13-Q13</f>
        <v>4045.84</v>
      </c>
      <c r="AB13" s="45">
        <f>+Q13</f>
        <v>49.160000000000004</v>
      </c>
      <c r="AC13" s="46">
        <f>+E13+F13+G13+H13+L13+M13+N13+O13</f>
        <v>2662.5</v>
      </c>
      <c r="AD13" s="46">
        <f>+AA13+AB13+AC13</f>
        <v>6757.5</v>
      </c>
      <c r="AE13" s="47">
        <f>Z13-AD13</f>
        <v>0</v>
      </c>
    </row>
    <row r="14" spans="2:31">
      <c r="B14" s="4" t="s">
        <v>46</v>
      </c>
      <c r="C14" s="7">
        <v>1335</v>
      </c>
      <c r="D14" s="15">
        <v>0.5</v>
      </c>
      <c r="E14" s="7">
        <v>108</v>
      </c>
      <c r="F14" s="15">
        <v>0</v>
      </c>
      <c r="G14" s="27">
        <v>0</v>
      </c>
      <c r="H14" s="15">
        <v>0</v>
      </c>
      <c r="I14" s="25">
        <f t="shared" si="3"/>
        <v>1443</v>
      </c>
      <c r="J14" s="7">
        <v>1292</v>
      </c>
      <c r="K14" s="7">
        <v>0.25</v>
      </c>
      <c r="L14" s="7">
        <v>0</v>
      </c>
      <c r="M14" s="15">
        <v>0</v>
      </c>
      <c r="N14" s="27">
        <v>0</v>
      </c>
      <c r="O14" s="15">
        <v>0</v>
      </c>
      <c r="P14" s="25">
        <f t="shared" si="4"/>
        <v>1292</v>
      </c>
      <c r="Q14" s="8">
        <f>43.91+40.63</f>
        <v>84.539999999999992</v>
      </c>
      <c r="R14" s="18">
        <f t="shared" si="5"/>
        <v>0.75</v>
      </c>
      <c r="S14" s="26">
        <f t="shared" si="6"/>
        <v>2735</v>
      </c>
      <c r="T14" s="13">
        <v>0</v>
      </c>
      <c r="U14" s="12">
        <f t="shared" si="7"/>
        <v>2735</v>
      </c>
      <c r="W14" s="44" t="s">
        <v>48</v>
      </c>
      <c r="X14" s="45">
        <f t="shared" si="8"/>
        <v>2735</v>
      </c>
      <c r="Y14" s="45">
        <f t="shared" si="9"/>
        <v>0.75</v>
      </c>
      <c r="Z14" s="45">
        <f t="shared" si="0"/>
        <v>2735.75</v>
      </c>
      <c r="AA14" s="45">
        <f t="shared" si="10"/>
        <v>2543.21</v>
      </c>
      <c r="AB14" s="45">
        <f t="shared" si="11"/>
        <v>84.539999999999992</v>
      </c>
      <c r="AC14" s="46">
        <f t="shared" si="12"/>
        <v>108</v>
      </c>
      <c r="AD14" s="46">
        <f t="shared" si="1"/>
        <v>2735.75</v>
      </c>
      <c r="AE14" s="47">
        <f t="shared" si="2"/>
        <v>0</v>
      </c>
    </row>
    <row r="15" spans="2:31">
      <c r="B15" s="4" t="s">
        <v>47</v>
      </c>
      <c r="C15" s="7">
        <v>316</v>
      </c>
      <c r="D15" s="15">
        <v>0</v>
      </c>
      <c r="E15" s="7">
        <v>563</v>
      </c>
      <c r="F15" s="15" t="s">
        <v>61</v>
      </c>
      <c r="G15" s="27">
        <v>0</v>
      </c>
      <c r="H15" s="15">
        <v>0</v>
      </c>
      <c r="I15" s="25">
        <f t="shared" si="3"/>
        <v>879</v>
      </c>
      <c r="J15" s="7">
        <v>454</v>
      </c>
      <c r="K15" s="15">
        <v>0.5</v>
      </c>
      <c r="L15" s="7">
        <v>0</v>
      </c>
      <c r="M15" s="15">
        <v>0</v>
      </c>
      <c r="N15" s="27">
        <v>0</v>
      </c>
      <c r="O15" s="15">
        <v>0</v>
      </c>
      <c r="P15" s="25">
        <f t="shared" si="4"/>
        <v>454</v>
      </c>
      <c r="Q15" s="27">
        <v>29.73</v>
      </c>
      <c r="R15" s="18" t="e">
        <f t="shared" si="5"/>
        <v>#VALUE!</v>
      </c>
      <c r="S15" s="26">
        <f t="shared" si="6"/>
        <v>1333</v>
      </c>
      <c r="T15" s="13">
        <v>0</v>
      </c>
      <c r="U15" s="12">
        <f t="shared" si="7"/>
        <v>1333</v>
      </c>
      <c r="W15" s="44" t="s">
        <v>49</v>
      </c>
      <c r="X15" s="45">
        <f t="shared" si="8"/>
        <v>1333</v>
      </c>
      <c r="Y15" s="45" t="e">
        <f t="shared" si="9"/>
        <v>#VALUE!</v>
      </c>
      <c r="Z15" s="45" t="e">
        <f t="shared" si="0"/>
        <v>#VALUE!</v>
      </c>
      <c r="AA15" s="45">
        <f t="shared" si="10"/>
        <v>740.77</v>
      </c>
      <c r="AB15" s="45">
        <f t="shared" si="11"/>
        <v>29.73</v>
      </c>
      <c r="AC15" s="46" t="e">
        <f t="shared" si="12"/>
        <v>#VALUE!</v>
      </c>
      <c r="AD15" s="46" t="e">
        <f t="shared" si="1"/>
        <v>#VALUE!</v>
      </c>
      <c r="AE15" s="47" t="e">
        <f t="shared" si="2"/>
        <v>#VALUE!</v>
      </c>
    </row>
    <row r="16" spans="2:31" ht="24" thickBot="1">
      <c r="B16" s="1" t="s">
        <v>7</v>
      </c>
      <c r="C16" s="51">
        <f t="shared" ref="C16:U16" si="13">SUM(C7:C15)</f>
        <v>28722</v>
      </c>
      <c r="D16" s="17">
        <f t="shared" si="13"/>
        <v>2.75</v>
      </c>
      <c r="E16" s="52">
        <f t="shared" si="13"/>
        <v>8675</v>
      </c>
      <c r="F16" s="16">
        <f t="shared" si="13"/>
        <v>2.7</v>
      </c>
      <c r="G16" s="52">
        <f t="shared" si="13"/>
        <v>0</v>
      </c>
      <c r="H16" s="16">
        <f t="shared" si="13"/>
        <v>0</v>
      </c>
      <c r="I16" s="39">
        <f t="shared" si="13"/>
        <v>37397</v>
      </c>
      <c r="J16" s="52">
        <f t="shared" si="13"/>
        <v>8217</v>
      </c>
      <c r="K16" s="16">
        <f t="shared" si="13"/>
        <v>5</v>
      </c>
      <c r="L16" s="52">
        <f t="shared" si="13"/>
        <v>0</v>
      </c>
      <c r="M16" s="16">
        <f t="shared" si="13"/>
        <v>0</v>
      </c>
      <c r="N16" s="29">
        <f t="shared" si="13"/>
        <v>0</v>
      </c>
      <c r="O16" s="16">
        <f t="shared" si="13"/>
        <v>0</v>
      </c>
      <c r="P16" s="39">
        <f t="shared" si="13"/>
        <v>8217</v>
      </c>
      <c r="Q16" s="52">
        <f t="shared" si="13"/>
        <v>537.88</v>
      </c>
      <c r="R16" s="16" t="e">
        <f t="shared" si="13"/>
        <v>#VALUE!</v>
      </c>
      <c r="S16" s="39">
        <f t="shared" si="13"/>
        <v>45614</v>
      </c>
      <c r="T16" s="36">
        <f t="shared" si="13"/>
        <v>0</v>
      </c>
      <c r="U16" s="53">
        <f t="shared" si="13"/>
        <v>45614</v>
      </c>
      <c r="W16" s="48" t="s">
        <v>9</v>
      </c>
      <c r="X16" s="49">
        <f t="shared" ref="X16:AD16" si="14">SUM(X7:X15)</f>
        <v>45614</v>
      </c>
      <c r="Y16" s="49" t="e">
        <f t="shared" si="14"/>
        <v>#VALUE!</v>
      </c>
      <c r="Z16" s="49" t="e">
        <f t="shared" si="14"/>
        <v>#VALUE!</v>
      </c>
      <c r="AA16" s="49">
        <f t="shared" si="14"/>
        <v>36408.869999999995</v>
      </c>
      <c r="AB16" s="49">
        <f t="shared" si="14"/>
        <v>537.88</v>
      </c>
      <c r="AC16" s="49" t="e">
        <f t="shared" si="14"/>
        <v>#VALUE!</v>
      </c>
      <c r="AD16" s="49" t="e">
        <f t="shared" si="14"/>
        <v>#VALUE!</v>
      </c>
      <c r="AE16" s="50" t="e">
        <f t="shared" si="2"/>
        <v>#VALUE!</v>
      </c>
    </row>
    <row r="17" spans="2:30" ht="24" thickTop="1">
      <c r="B17" s="9"/>
      <c r="C17" s="10"/>
      <c r="D17" s="10"/>
      <c r="E17" s="11"/>
      <c r="F17" s="11"/>
      <c r="G17" s="30"/>
      <c r="H17" s="11"/>
      <c r="I17" s="40"/>
      <c r="J17" s="11"/>
      <c r="K17" s="11"/>
      <c r="L17" s="11"/>
      <c r="M17" s="11"/>
      <c r="N17" s="30"/>
      <c r="O17" s="11"/>
      <c r="P17" s="40"/>
      <c r="Q17" s="11"/>
      <c r="R17" s="11"/>
      <c r="S17" s="40"/>
      <c r="T17" s="11"/>
      <c r="U17" s="11"/>
    </row>
    <row r="18" spans="2:30" ht="23.25" customHeight="1">
      <c r="B18" s="19" t="s">
        <v>36</v>
      </c>
      <c r="C18" s="23" t="s">
        <v>20</v>
      </c>
      <c r="D18" s="20"/>
      <c r="E18" s="11">
        <f>+I16-G16</f>
        <v>37397</v>
      </c>
      <c r="G18" s="37"/>
      <c r="K18" s="22"/>
      <c r="L18" s="32"/>
      <c r="M18" s="24"/>
      <c r="N18" s="24"/>
      <c r="O18" s="24"/>
      <c r="P18" s="24"/>
      <c r="Q18" s="24"/>
      <c r="R18" s="24"/>
      <c r="S18" s="33"/>
      <c r="X18" s="6"/>
      <c r="Y18" s="6"/>
      <c r="Z18" s="5"/>
      <c r="AA18" s="6"/>
      <c r="AB18" s="6"/>
      <c r="AC18" s="6"/>
      <c r="AD18" s="6"/>
    </row>
    <row r="19" spans="2:30">
      <c r="C19" s="21" t="s">
        <v>21</v>
      </c>
      <c r="D19" s="9"/>
      <c r="E19" s="11">
        <f>+P16-N16</f>
        <v>8217</v>
      </c>
      <c r="G19" s="54"/>
      <c r="I19" s="41"/>
      <c r="J19" s="38"/>
      <c r="K19" s="22"/>
      <c r="M19" s="24"/>
      <c r="N19" s="24"/>
      <c r="O19" s="24"/>
      <c r="P19" s="24"/>
      <c r="Q19" s="24"/>
      <c r="R19" s="24"/>
      <c r="S19" s="33"/>
    </row>
    <row r="20" spans="2:30">
      <c r="C20" s="21" t="s">
        <v>34</v>
      </c>
      <c r="D20" s="9"/>
      <c r="E20" s="10">
        <f>+G16</f>
        <v>0</v>
      </c>
      <c r="G20" s="9"/>
      <c r="I20" s="41"/>
      <c r="J20" s="38"/>
      <c r="K20" s="22"/>
      <c r="L20" s="32"/>
      <c r="M20" s="24"/>
      <c r="N20" s="24"/>
      <c r="O20" s="24"/>
      <c r="P20" s="24"/>
      <c r="Q20" s="24"/>
      <c r="R20" s="24"/>
      <c r="S20" s="33"/>
    </row>
    <row r="21" spans="2:30">
      <c r="C21" s="21" t="s">
        <v>35</v>
      </c>
      <c r="D21" s="9"/>
      <c r="E21" s="10">
        <f>+N16</f>
        <v>0</v>
      </c>
      <c r="I21" s="41"/>
      <c r="J21" s="38"/>
      <c r="K21" s="22"/>
      <c r="L21" s="32"/>
      <c r="M21" s="24"/>
      <c r="N21" s="24"/>
      <c r="O21" s="24"/>
      <c r="P21" s="24"/>
      <c r="Q21" s="24"/>
      <c r="R21" s="24"/>
      <c r="S21" s="33"/>
    </row>
    <row r="22" spans="2:30" ht="24" thickBot="1">
      <c r="C22" s="54" t="s">
        <v>51</v>
      </c>
      <c r="D22" s="9"/>
      <c r="E22" s="10">
        <v>0</v>
      </c>
      <c r="I22" s="41"/>
      <c r="J22" s="38"/>
      <c r="K22" s="22"/>
      <c r="L22" s="32"/>
      <c r="M22" s="24"/>
      <c r="N22" s="24"/>
      <c r="O22" s="24"/>
      <c r="P22" s="24"/>
      <c r="Q22" s="24"/>
      <c r="R22" s="24"/>
      <c r="S22" s="33"/>
    </row>
    <row r="23" spans="2:30" ht="25.8" thickBot="1">
      <c r="C23" s="58" t="s">
        <v>39</v>
      </c>
      <c r="D23" s="57"/>
      <c r="E23" s="59">
        <f>SUM(E18:E22)</f>
        <v>45614</v>
      </c>
      <c r="I23" s="41"/>
      <c r="J23" s="38"/>
      <c r="K23" s="22"/>
      <c r="L23" s="32"/>
      <c r="M23" s="24"/>
      <c r="N23" s="24"/>
      <c r="O23" s="24"/>
      <c r="P23" s="24"/>
      <c r="Q23" s="24"/>
      <c r="R23" s="24"/>
      <c r="S23" s="33"/>
      <c r="T23" s="2"/>
      <c r="V23" s="2"/>
    </row>
    <row r="24" spans="2:30">
      <c r="C24" s="54"/>
      <c r="E24" s="56"/>
      <c r="I24" s="41"/>
      <c r="J24" s="38"/>
      <c r="K24" s="22"/>
      <c r="L24" s="32"/>
      <c r="M24" s="24"/>
      <c r="N24" s="24"/>
      <c r="O24" s="24"/>
      <c r="P24" s="24"/>
      <c r="Q24" s="24"/>
      <c r="R24" s="24"/>
      <c r="S24" s="33"/>
      <c r="T24" s="2"/>
      <c r="V24" s="2"/>
    </row>
    <row r="25" spans="2:30">
      <c r="C25" s="9"/>
      <c r="E25" s="55"/>
      <c r="I25" s="41"/>
      <c r="J25" s="38"/>
      <c r="K25" s="22"/>
      <c r="L25" s="32"/>
      <c r="M25" s="24"/>
      <c r="N25" s="24"/>
      <c r="O25" s="24"/>
      <c r="P25" s="24"/>
      <c r="Q25" s="24"/>
      <c r="R25" s="24"/>
      <c r="S25" s="33"/>
      <c r="T25" s="2"/>
      <c r="V25" s="2"/>
    </row>
    <row r="26" spans="2:30">
      <c r="I26" s="41"/>
      <c r="J26" s="38"/>
      <c r="K26" s="22"/>
      <c r="L26" s="22"/>
      <c r="M26" s="22"/>
      <c r="N26" s="35"/>
      <c r="O26" s="22"/>
      <c r="P26" s="34"/>
      <c r="Q26" s="34"/>
      <c r="R26" s="34"/>
      <c r="S26" s="34"/>
      <c r="T26" s="2"/>
      <c r="V26" s="2"/>
    </row>
    <row r="27" spans="2:30">
      <c r="C27" s="2" t="s">
        <v>40</v>
      </c>
      <c r="I27" s="41"/>
      <c r="J27" s="38"/>
      <c r="K27" s="22"/>
      <c r="L27" s="22"/>
      <c r="M27" s="22"/>
      <c r="N27" s="35"/>
      <c r="O27" s="22"/>
      <c r="P27" s="34"/>
      <c r="Q27" s="34"/>
      <c r="R27" s="34"/>
      <c r="S27" s="34"/>
      <c r="T27" s="2"/>
      <c r="V27" s="2"/>
    </row>
    <row r="28" spans="2:30">
      <c r="C28" s="60" t="s">
        <v>44</v>
      </c>
      <c r="D28" s="60"/>
      <c r="E28" s="60"/>
      <c r="I28" s="60" t="s">
        <v>43</v>
      </c>
      <c r="J28" s="60"/>
      <c r="K28" s="60"/>
      <c r="T28" s="2"/>
      <c r="V28" s="2"/>
    </row>
    <row r="29" spans="2:30">
      <c r="C29" s="60" t="s">
        <v>37</v>
      </c>
      <c r="D29" s="60"/>
      <c r="E29" s="60"/>
      <c r="I29" s="60" t="s">
        <v>42</v>
      </c>
      <c r="J29" s="60"/>
      <c r="K29" s="60"/>
      <c r="T29" s="2"/>
      <c r="V29" s="2"/>
    </row>
    <row r="30" spans="2:30">
      <c r="C30" s="60" t="s">
        <v>38</v>
      </c>
      <c r="D30" s="60"/>
      <c r="E30" s="60"/>
      <c r="T30" s="2"/>
      <c r="V30" s="2"/>
    </row>
  </sheetData>
  <mergeCells count="22">
    <mergeCell ref="C30:E30"/>
    <mergeCell ref="R5:R6"/>
    <mergeCell ref="S5:S6"/>
    <mergeCell ref="T5:T6"/>
    <mergeCell ref="U5:U6"/>
    <mergeCell ref="I5:I6"/>
    <mergeCell ref="J5:O5"/>
    <mergeCell ref="AA5:AE5"/>
    <mergeCell ref="C28:E28"/>
    <mergeCell ref="I28:K28"/>
    <mergeCell ref="C29:E29"/>
    <mergeCell ref="I29:K29"/>
    <mergeCell ref="P5:P6"/>
    <mergeCell ref="Q5:Q6"/>
    <mergeCell ref="W5:W6"/>
    <mergeCell ref="X5:Z5"/>
    <mergeCell ref="B2:U2"/>
    <mergeCell ref="B3:U3"/>
    <mergeCell ref="B4:U4"/>
    <mergeCell ref="W4:AE4"/>
    <mergeCell ref="B5:B6"/>
    <mergeCell ref="C5:H5"/>
  </mergeCells>
  <pageMargins left="0.23622047244094491" right="0.15748031496062992" top="0.11811023622047245" bottom="0.11811023622047245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1ก.ค</vt:lpstr>
      <vt:lpstr>2ก.ค </vt:lpstr>
      <vt:lpstr>3ก.ค  </vt:lpstr>
      <vt:lpstr>4ก.ค   </vt:lpstr>
      <vt:lpstr>'1ก.ค'!Print_Area</vt:lpstr>
      <vt:lpstr>'2ก.ค '!Print_Area</vt:lpstr>
      <vt:lpstr>'3ก.ค  '!Print_Area</vt:lpstr>
      <vt:lpstr>'4ก.ค   '!Print_Area</vt:lpstr>
    </vt:vector>
  </TitlesOfParts>
  <Company>sKz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Akkapoj Wongpuengchai</cp:lastModifiedBy>
  <cp:lastPrinted>2015-07-06T06:01:01Z</cp:lastPrinted>
  <dcterms:created xsi:type="dcterms:W3CDTF">2007-05-09T04:09:24Z</dcterms:created>
  <dcterms:modified xsi:type="dcterms:W3CDTF">2015-07-07T08:47:42Z</dcterms:modified>
</cp:coreProperties>
</file>